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10E39CE4-91CF-4AE5-A655-45D15AC95D97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serie_situfin">'Situfin serie mensual'!$A$1:$JE$96</definedName>
    <definedName name="TC_mes">Aux!$H$3:$I$270</definedName>
    <definedName name="tipo_cambio">Aux!$G$3:$I$270</definedName>
  </definedNames>
  <calcPr calcId="19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G264" i="3" l="1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U38" i="10" l="1"/>
  <c r="T38" i="10"/>
  <c r="G263" i="3" l="1"/>
  <c r="G262" i="3" l="1"/>
  <c r="G261" i="3" l="1"/>
  <c r="Q6" i="3" l="1"/>
  <c r="Q5" i="3"/>
  <c r="G260" i="3" l="1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V38" i="10" l="1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6" i="3"/>
  <c r="W6" i="3" s="1"/>
  <c r="P5" i="3"/>
  <c r="W5" i="3" s="1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D31" i="12" l="1"/>
  <c r="H10" i="12"/>
  <c r="C31" i="12"/>
  <c r="G10" i="12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R6" i="3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T43" i="10" l="1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del BCP - octubre 2024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<sst xmlns="http://schemas.openxmlformats.org/spreadsheetml/2006/main" count="501" uniqueCount="216">
  <si>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</si>
  <si>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</si>
  <si>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</si>
  <si>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</si>
  <si>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</si>
  <si>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</si>
  <si>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</si>
  <si>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</si>
  <si>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</si>
  <si>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</si>
  <si>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</si>
  <si>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</si>
  <si>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</si>
  <si>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</si>
  <si>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</si>
  <si>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</si>
  <si>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</si>
  <si>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</si>
  <si>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</si>
  <si>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</si>
  <si>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</si>
  <si>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</si>
  <si>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</si>
  <si>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</si>
  <si>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</si>
  <si>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</si>
  <si>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</si>
  <si>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</si>
  <si>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</si>
  <si>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</si>
  <si>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</si>
  <si>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</si>
  <si>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</si>
  <si>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</si>
  <si>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</si>
  <si>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</si>
  <si>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</si>
  <si>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</si>
  <si>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</si>
  <si>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</si>
  <si>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</si>
  <si>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</si>
  <si>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</si>
  <si>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</si>
  <si>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</si>
  <si>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</si>
  <si>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</si>
  <si>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</si>
  <si>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</si>
  <si>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</si>
  <si>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</si>
  <si>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</si>
  <si>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</si>
  <si>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</si>
  <si>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</si>
  <si>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</si>
  <si>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</si>
  <si>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</si>
  <si>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</si>
  <si>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</si>
  <si>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</si>
  <si>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</si>
  <si>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</si>
  <si>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</si>
  <si>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</si>
  <si>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</si>
  <si>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</si>
  <si>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</si>
  <si>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</si>
  <si>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</si>
  <si>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</si>
  <si>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</si>
  <si>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</si>
  <si>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</si>
  <si>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</si>
  <si>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</si>
  <si>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</si>
  <si>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</si>
  <si>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</si>
  <si>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</si>
  <si>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</si>
  <si>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</si>
  <si>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</si>
  <si>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</si>
  <si>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</si>
  <si>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</si>
  <si>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</si>
  <si>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</si>
  <si>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</si>
  <si>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</si>
  <si>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</si>
  <si>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</si>
  <si>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</si>
  <si>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</si>
  <si>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</si>
  <si>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</si>
  <si>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</si>
  <si>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</si>
  <si>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</si>
  <si>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</si>
  <si>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</si>
  <si>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</si>
  <si>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</si>
  <si>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</si>
  <si>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</si>
  <si>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</si>
  <si>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</si>
  <si>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</si>
  <si>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</si>
  <si>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</si>
  <si>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</si>
  <si>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</si>
  <si>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</si>
  <si>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</si>
  <si>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</si>
  <si>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</si>
  <si>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</si>
  <si>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</si>
  <si>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</si>
  <si>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</si>
  <si>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</si>
  <si>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</si>
  <si>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</si>
  <si>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</si>
  <si>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</si>
  <si>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</si>
  <si>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</si>
  <si>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</si>
  <si>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</si>
  <si>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</si>
  <si>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</si>
  <si>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</si>
  <si>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</si>
  <si>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</si>
  <si>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</si>
  <si>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</si>
  <si>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</si>
  <si>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</si>
  <si>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</si>
  <si>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</si>
  <si>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</si>
  <si>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</si>
  <si>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</si>
  <si>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</si>
  <si>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</si>
  <si>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</si>
  <si>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</si>
  <si>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</si>
  <si>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</si>
  <si>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</si>
  <si>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</si>
  <si>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</si>
  <si>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</si>
  <si>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</si>
  <si>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</si>
  <si>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</si>
  <si>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</si>
  <si>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</si>
  <si>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</si>
  <si>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</si>
  <si>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</si>
  <si>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</si>
  <si>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</si>
  <si>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</si>
  <si>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</si>
  <si>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</si>
  <si>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</si>
  <si>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</si>
  <si>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</si>
  <si>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</si>
  <si>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</si>
  <si>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</si>
  <si>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</si>
  <si>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</si>
  <si>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</si>
  <si>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</si>
  <si>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</si>
  <si>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</si>
  <si>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</si>
  <si>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</si>
  <si>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</si>
  <si>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</si>
  <si>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</si>
  <si>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</si>
  <si>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</si>
  <si>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</si>
  <si>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</si>
  <si>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</si>
  <si>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</si>
  <si>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</si>
  <si>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</si>
  <si>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</si>
  <si>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</si>
  <si>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</si>
  <si>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</si>
  <si>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</si>
  <si>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</si>
  <si>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</si>
  <si>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</si>
  <si>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</si>
  <si>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</si>
  <si>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</si>
  <si>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</si>
  <si>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</si>
  <si>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</si>
  <si>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</si>
  <si>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</si>
  <si>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</si>
  <si>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</si>
  <si>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</si>
  <si>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</si>
  <si>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</si>
  <si>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P/ hoja resumen</t>
  </si>
  <si>
    <t xml:space="preserve">ANANF anualizado (m_US$) </t>
  </si>
  <si>
    <t>Ejecución
Ene-Oct
2023</t>
  </si>
  <si>
    <t>Ejecución
Ene-Oct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</si>
</sst>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  <numFmt numFmtId="187" formatCode="[$PYG]\ #,##0.0;[$PYG]\ \-#,##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b/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41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5" fontId="0" fillId="0" borderId="0" xfId="0" applyNumberFormat="1"/>
    <xf numFmtId="187" fontId="0" fillId="0" borderId="0" xfId="1" applyNumberFormat="1" applyFont="1" applyBorder="1"/>
    <xf numFmtId="17" fontId="0" fillId="0" borderId="4" xfId="0" applyNumberFormat="1" applyBorder="1"/>
    <xf numFmtId="3" fontId="0" fillId="0" borderId="4" xfId="0" applyNumberFormat="1" applyFill="1" applyBorder="1"/>
    <xf numFmtId="0" fontId="50" fillId="0" borderId="0" xfId="2" applyNumberFormat="1" applyFont="1" applyBorder="1" applyAlignment="1">
      <alignment horizontal="center" vertical="center"/>
    </xf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BID; USD 149,2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CAF; USD 147,6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45% BONOS; USD 384,1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52,6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FONPLATA; USD 51,5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OTROS; USD 59,9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49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BID; USD 149,2</a:t>
          </a:r>
        </a:p>
      </dsp:txBody>
      <dsp:txXfrm>
        <a:off x="14621" y="64299"/>
        <a:ext cx="1977729" cy="270278"/>
      </dsp:txXfrm>
    </dsp:sp>
    <dsp:sp modelId="{0D666006-1837-4A28-932F-50B679C0692E}">
      <dsp:nvSpPr>
        <dsp:cNvPr id="0" name=""/>
        <dsp:cNvSpPr/>
      </dsp:nvSpPr>
      <dsp:spPr>
        <a:xfrm>
          <a:off x="0" y="387729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CAF; USD 147,6</a:t>
          </a:r>
        </a:p>
      </dsp:txBody>
      <dsp:txXfrm>
        <a:off x="14621" y="402350"/>
        <a:ext cx="1977729" cy="270278"/>
      </dsp:txXfrm>
    </dsp:sp>
    <dsp:sp modelId="{9C34921F-1EBE-4C36-AC6D-74BE6E9E4C7E}">
      <dsp:nvSpPr>
        <dsp:cNvPr id="0" name=""/>
        <dsp:cNvSpPr/>
      </dsp:nvSpPr>
      <dsp:spPr>
        <a:xfrm>
          <a:off x="0" y="7408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45% BONOS; USD 384,1</a:t>
          </a:r>
        </a:p>
      </dsp:txBody>
      <dsp:txXfrm>
        <a:off x="14621" y="755499"/>
        <a:ext cx="1977729" cy="270278"/>
      </dsp:txXfrm>
    </dsp:sp>
    <dsp:sp modelId="{399C80D5-4A8C-41CC-9CD9-5EE6570C022A}">
      <dsp:nvSpPr>
        <dsp:cNvPr id="0" name=""/>
        <dsp:cNvSpPr/>
      </dsp:nvSpPr>
      <dsp:spPr>
        <a:xfrm>
          <a:off x="0" y="10864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52,6</a:t>
          </a:r>
        </a:p>
      </dsp:txBody>
      <dsp:txXfrm>
        <a:off x="14621" y="1101099"/>
        <a:ext cx="1977729" cy="270278"/>
      </dsp:txXfrm>
    </dsp:sp>
    <dsp:sp modelId="{2560457B-587D-45C6-B1E3-750BC51083D9}">
      <dsp:nvSpPr>
        <dsp:cNvPr id="0" name=""/>
        <dsp:cNvSpPr/>
      </dsp:nvSpPr>
      <dsp:spPr>
        <a:xfrm>
          <a:off x="0" y="14320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FONPLATA; USD 51,5</a:t>
          </a:r>
        </a:p>
      </dsp:txBody>
      <dsp:txXfrm>
        <a:off x="14621" y="1446699"/>
        <a:ext cx="1977729" cy="270278"/>
      </dsp:txXfrm>
    </dsp:sp>
    <dsp:sp modelId="{CC4A0EB8-B574-4474-8026-DBB4FEDF31CB}">
      <dsp:nvSpPr>
        <dsp:cNvPr id="0" name=""/>
        <dsp:cNvSpPr/>
      </dsp:nvSpPr>
      <dsp:spPr>
        <a:xfrm>
          <a:off x="0" y="1777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OTROS; USD 59,9</a:t>
          </a:r>
        </a:p>
      </dsp:txBody>
      <dsp:txXfrm>
        <a:off x="14621" y="1792299"/>
        <a:ext cx="1977729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-1.545,9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-3,6%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1.086,6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-1,1%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2,5%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95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95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-459,4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954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-1,6%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11,7%.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(↑20,9%).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16,9%).</a:t>
          </a:r>
        </a:p>
      </xdr:txBody>
    </xdr:sp>
    <xdr:clientData/>
  </xdr:twoCellAnchor>
  <xdr:twoCellAnchor>
    <xdr:from>
      <xdr:col>5</xdr:col>
      <xdr:colOff>56030</xdr:colOff>
      <xdr:row>17</xdr:row>
      <xdr:rowOff>123266</xdr:rowOff>
    </xdr:from>
    <xdr:to>
      <xdr:col>9</xdr:col>
      <xdr:colOff>113179</xdr:colOff>
      <xdr:row>24</xdr:row>
      <xdr:rowOff>63316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70295" y="3585884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↑21,4%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↑20,0%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Ingresos de Yacyretá en junio y octubre de 2024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(USD 116,8 millones).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↑15,8% y ↑26,9%,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7,3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 de 2023.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↑3,0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↑28,6%)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844,9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241,7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539003</xdr:colOff>
      <xdr:row>0</xdr:row>
      <xdr:rowOff>44824</xdr:rowOff>
    </xdr:from>
    <xdr:to>
      <xdr:col>13</xdr:col>
      <xdr:colOff>617444</xdr:colOff>
      <xdr:row>2</xdr:row>
      <xdr:rowOff>12311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11195797" y="44824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6</xdr:col>
      <xdr:colOff>148590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17</xdr:row>
      <xdr:rowOff>0</xdr:rowOff>
    </xdr:from>
    <xdr:to>
      <xdr:col>17</xdr:col>
      <xdr:colOff>404532</xdr:colOff>
      <xdr:row>26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81995D85-6C55-4B58-94BF-4434D5B075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53525" y="36290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597.46975358796" createdVersion="6" refreshedVersion="6" minRefreshableVersion="3" recordCount="262" xr:uid="{00000000-000A-0000-FFFF-FFFF01000000}">
  <cacheSource type="worksheet">
    <worksheetSource name="Datos1"/>
  </cacheSource>
  <cacheFields count="147">
    <cacheField name="Periodo" numFmtId="17">
      <sharedItems containsSemiMixedTypes="0" containsNonDate="0" containsDate="1" containsString="0" minDate="2003-01-01T00:00:00" maxDate="2024-10-02T00:00:00" count="262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  <fieldGroup par="145" base="0">
        <rangePr groupBy="months" startDate="2003-01-01T00:00:00" endDate="2024-10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10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2570.39534209348"/>
    </cacheField>
    <cacheField name="Tipo de cambio Gs./US$" numFmtId="3">
      <sharedItems containsSemiMixedTypes="0" containsString="0" containsNumber="1" minValue="3873.0454545454545" maxValue="7866.6784782608702"/>
    </cacheField>
    <cacheField name="Ingreso Total (Recaudado)" numFmtId="164">
      <sharedItems containsSemiMixedTypes="0" containsString="0" containsNumber="1" minValue="377.89362093800003" maxValue="5401.0182893279998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50210.730293241999"/>
    </cacheField>
    <cacheField name="IT anualizado (% del PIB)" numFmtId="164">
      <sharedItems containsString="0" containsBlank="1" containsNumber="1" minValue="11.588447733995775" maxValue="15.247233020755061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6120386270004"/>
    </cacheField>
    <cacheField name="Presión Tributaria" numFmtId="164">
      <sharedItems containsSemiMixedTypes="0" containsString="0" containsNumber="1" minValue="0.44839968072897068" maxValue="1.3193032513052614"/>
    </cacheField>
    <cacheField name="Tributarios Acum. Por año" numFmtId="164">
      <sharedItems containsSemiMixedTypes="0" containsString="0" containsNumber="1" minValue="244.56120121400002" maxValue="31757.824714815004"/>
    </cacheField>
    <cacheField name="Tributarios suma 12 meses" numFmtId="164">
      <sharedItems containsString="0" containsBlank="1" containsNumber="1" minValue="3675.8208073330002" maxValue="37241.652139101992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3039.3518615140001"/>
    </cacheField>
    <cacheField name="Imp. Internos suma 12 meses" numFmtId="164">
      <sharedItems containsString="0" containsBlank="1" containsNumber="1" minValue="1629.2645083789998" maxValue="22239.978010931001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393.8137800120001"/>
    </cacheField>
    <cacheField name="Imp. Externos suma 12 meses" numFmtId="164">
      <sharedItems containsString="0" containsBlank="1" containsNumber="1" minValue="2077.0287278750002" maxValue="14446.838614917002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781.40767091300006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2174104285239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53576.674551638003"/>
    </cacheField>
    <cacheField name="GT anualizado (% del PIB)" numFmtId="164">
      <sharedItems containsString="0" containsBlank="1" containsNumber="1" minValue="9.0125693393254647" maxValue="16.330844935634271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40242564336291"/>
    </cacheField>
    <cacheField name="Gasto corr. anualizado" numFmtId="164">
      <sharedItems containsString="0" containsBlank="1" containsNumber="1" minValue="4933.4677585969994" maxValue="50203.396814249005"/>
    </cacheField>
    <cacheField name="Gasto corr. anualizado (% del PIB)" numFmtId="164">
      <sharedItems containsString="0" containsBlank="1" containsNumber="1" minValue="8.3314725387853326" maxValue="15.300970701671694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505852251620504"/>
    </cacheField>
    <cacheField name="Gto. Corr. Primario anualizado" numFmtId="164">
      <sharedItems containsString="0" containsBlank="1" containsNumber="1" minValue="4501.872478882" maxValue="43783.092462203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1671.234802763003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53.0242610350001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75.22943245500005"/>
    </cacheField>
    <cacheField name="Intereses (millones de US$)" numFmtId="164">
      <sharedItems containsSemiMixedTypes="0" containsString="0" containsNumber="1" minValue="0.36577484541023186" maxValue="126.26257641770599"/>
    </cacheField>
    <cacheField name="Intereses (% del PIB)" numFmtId="164">
      <sharedItems containsSemiMixedTypes="0" containsString="0" containsNumber="1" minValue="1.9677860282400874E-3" maxValue="0.29324000154970054"/>
    </cacheField>
    <cacheField name="Intereses anualizados" numFmtId="164">
      <sharedItems containsString="0" containsBlank="1" containsNumber="1" minValue="244.70811811499999" maxValue="6420.3043520459996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4.9855842650004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876026469380911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618224090424772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7.5252545140004"/>
    </cacheField>
    <cacheField name="RON primario (% del PIB)" numFmtId="164">
      <sharedItems containsSemiMixedTypes="0" containsString="0" containsNumber="1" minValue="-1.1483833777708987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millones de USD)" numFmtId="164">
      <sharedItems containsString="0" containsBlank="1" containsNumber="1" minValue="174.57704472508905" maxValue="1301.1761702428826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857777773333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90776391287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9.4396523520004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517451197083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AC financiados con ingresos tributarios" numFmtId="168">
      <sharedItems containsSemiMixedTypes="0" containsString="0" containsNumber="1" minValue="195.45252411800001" maxValue="3295.8609907209998"/>
    </cacheField>
    <cacheField name="SSPP S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emiMixedTypes="0" containsString="0" containsNumber="1" minValue="45.540552748458985" maxValue="133.9"/>
    </cacheField>
    <cacheField name="Ingreso Total def." numFmtId="168">
      <sharedItems containsSemiMixedTypes="0" containsString="0" containsNumber="1" minValue="786.57237707066849" maxValue="4033.620828474981"/>
    </cacheField>
    <cacheField name="Ing. Total def. suma 12m" numFmtId="168">
      <sharedItems containsString="0" containsBlank="1" containsNumber="1" minValue="12913.240731654379" maxValue="37912.019091384776"/>
    </cacheField>
    <cacheField name="% Var. Real Ing. Total" numFmtId="0">
      <sharedItems containsString="0" containsBlank="1" containsNumber="1" minValue="-8.931243730535543E-2" maxValue="0.2436866189075575"/>
    </cacheField>
    <cacheField name="Ingresos Tributarios def." numFmtId="168">
      <sharedItems containsSemiMixedTypes="0" containsString="0" containsNumber="1" minValue="496.31831362554675" maxValue="3276.7827024846902"/>
    </cacheField>
    <cacheField name="Ing. Trib. Def Sum12m" numFmtId="168">
      <sharedItems containsString="0" containsBlank="1" containsNumber="1" minValue="7880.3599714699139" maxValue="28111.028655974962"/>
    </cacheField>
    <cacheField name="% Var. Real Ing. Trib." numFmtId="0">
      <sharedItems containsString="0" containsBlank="1" containsNumber="1" minValue="-9.5631702953994036E-2" maxValue="0.28593818702326224"/>
    </cacheField>
    <cacheField name="Gasto Total def." numFmtId="168">
      <sharedItems containsSemiMixedTypes="0" containsString="0" containsNumber="1" minValue="685.00371972586311" maxValue="6163.5255171271183"/>
    </cacheField>
    <cacheField name="Gto. Total def. sum12m" numFmtId="0">
      <sharedItems containsString="0" containsBlank="1" containsNumber="1" minValue="10925.606034873583" maxValue="40522.416368770115"/>
    </cacheField>
    <cacheField name="% Var. Real Gto. Total" numFmtId="0">
      <sharedItems containsString="0" containsBlank="1" containsNumber="1" minValue="-4.2905003520675389E-2" maxValue="0.27326586154238486"/>
    </cacheField>
    <cacheField name="ANANF def." numFmtId="168">
      <sharedItems containsSemiMixedTypes="0" containsString="0" containsNumber="1" minValue="1.9033171740048735" maxValue="2130.1958802094096"/>
    </cacheField>
    <cacheField name="ANANF def. sum12m" numFmtId="0">
      <sharedItems containsString="0" containsBlank="1" containsNumber="1" minValue="1794.6152415661625" maxValue="8292.5770164123915"/>
    </cacheField>
    <cacheField name="% Var. Real ANANF" numFmtId="0">
      <sharedItems containsString="0" containsBlank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SP financiados con Ingresos Tributarios'/'Ingresos Tributarios'" databaseField="0"/>
    <cacheField name="Trimestres" numFmtId="0" databaseField="0">
      <fieldGroup base="0">
        <rangePr groupBy="quarters" startDate="2003-01-01T00:00:00" endDate="2024-10-02T00:00:00"/>
        <groupItems count="6">
          <s v="&lt;1/1/2003"/>
          <s v="Trim.1"/>
          <s v="Trim.2"/>
          <s v="Trim.3"/>
          <s v="Trim.4"/>
          <s v="&gt;2/10/2024"/>
        </groupItems>
      </fieldGroup>
    </cacheField>
    <cacheField name="Años" numFmtId="0" databaseField="0">
      <fieldGroup base="0">
        <rangePr groupBy="years" startDate="2003-01-01T00:00:00" endDate="2024-10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10/2024"/>
        </groupItems>
      </fieldGroup>
    </cacheField>
    <cacheField name="% de financiación" numFmtId="0" formula="'SSPP AC financiados con ingresos tributarios'/'Ingresos Tributarios'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">
  <r>
    <x v="0"/>
    <x v="0"/>
    <x v="0"/>
    <x v="0"/>
    <n v="49411.959699781924"/>
    <n v="7088.75"/>
    <n v="392.11764131300004"/>
    <n v="0.79356828528039658"/>
    <n v="392.11764131300004"/>
    <m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195.45252411800001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03.12182804899999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03.84216345600001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04.94395213300001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04.082669248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10.02494928900001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05.76619658300001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08.166129622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07.33182832200001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07.332303999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07.37473554600001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n v="12.274293149022315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10.492666878267695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178.15790256440567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392.84529389800002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12.137908396968301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10.303363638980409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174.67136984498697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11.34759539800001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12.214553671871366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10.26517909541836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174.57704472508905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17.71439900199999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12.449946879490344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10.169139335716602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183.57770565782496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19.80494919200001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12.506849293351635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10.127140465765775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185.24789738202267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19.2646892470000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12.87468632478597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10.058354084126327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186.3253883707373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20.0324317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13.09931351924779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9.8324878272613585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181.49680119483773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21.30288780999999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13.411159796858271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9.829391849161101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183.16424836415013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20.82352683900001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13.514869272527765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9.9677632713518172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186.69134807566221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18.80994335899999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13.611233128401093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9.8881486189113144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184.63069938161235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18.277242812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13.672808581416252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10.061439383452946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12.75831087592147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29.0117672769999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13.772422656571939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9.9960792899287654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25.29122524722845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44.87050785400001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13.301159812464492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9.791397125713905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31.45100260381668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46.59361739500002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13.485937634046277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9.80376031089623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36.20472956168328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39.0687387380000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13.507672184191168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9.8810796116744513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37.88211310922659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48.22093930700001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13.546100740872911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9.8631243653266694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33.81832614715236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39.3413522950000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13.576817285407666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9.9518938632141403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30.88689431650164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50.6003829759999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13.310966783031452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10.002726615909715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31.13405666060311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46.2505543119999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13.317621516385605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10.12658639781864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35.44499759834042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45.038590618999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13.106937394019443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10.12866145191335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41.5894034547004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49.06028353799999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13.053250970876253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10.050416534681073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47.9390345855042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44.941336068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12.92230015841923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10.200996180614114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51.19982587780225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44.03800329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12.805417163720278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10.00238924077108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25.03597094180267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49.8788275469999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12.648595070873435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10.047939628081355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28.71279118619455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58.79154565900001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12.707632138065383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10.025443599419839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36.47850478219101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17.0365987630000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12.928683497282309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10.12199525711959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33.49610665873956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280.75866309100002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12.960392765285665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10.013019957571375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33.55445075695437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287.43719069700001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12.837962779426258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10.02955374151168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48.58981783717695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287.53148783099999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12.891580759394392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9.978962850694395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51.3790353047563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284.5769301689999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13.041397023250848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10.00632053874131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57.20651003330801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293.76991835899997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12.970426496943142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10.055646710673013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67.87618190720048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288.710139825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12.910713511191332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9.9826334779015156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63.05659036955115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291.804056398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12.835367318012697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10.01767844296576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62.07163410286631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02.99986570599998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13.030810725362509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10.028818162870653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68.83476455506309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291.80449572600003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12.992330299110854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10.006859393076935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81.86855877783256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295.742230624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12.943094809478005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9.8919425824504543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78.57900061075549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03.37078210800001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12.626438036075571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.095774018603869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87.24203207745751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598.46105936799995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12.436360708268218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10.016760149072336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301.56114116322601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299.04894286199999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12.210342242989386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9.9970499531894337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99.8477511014342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24.67660894699998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12.40089585593973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9.9802349971689814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89.63758654466898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19.5119265289999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12.20855829777785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9.8956547176655043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92.00349329343527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22.431144211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12.21237245872373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9.8110934253171127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99.56083725448605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23.90548718299999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12.104478195192709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9.6813312564900169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290.39107831905585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26.84646424499999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12.101517957863011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9.6559806510959838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295.91162226941776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15.1836283619999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12.110043515810595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9.6051911133047359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299.92349911483927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20.84759579199999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11.780433428717847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9.5887648027474643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305.04055607392576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21.67575361500002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11.82380002023322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9.629406739511864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302.34034195409055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31.91623288099998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11.876412257975684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9.7095086908928305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301.13432166757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61.44026411700003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12.03164887813942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9.5523827646541228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309.25932504571182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664.80964049600004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12.12182458108639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9.5191723611749577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297.91702439386404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374.74794542400002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12.364361390959234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9.5340635470123942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301.5082493292295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392.71422553899998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12.113435260658864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9.6223604395672435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295.90624483051914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382.0164082659999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12.109020203362629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9.6969100944691125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303.38630715917509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378.88453620799999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12.029805603994392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9.596288523848175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306.76770217152847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372.33962941800002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12.06308792245294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9.578342310837983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308.49910556384856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390.05055009900002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12.071537560950194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9.5135322597742551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322.00742252051106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380.82046450799999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11.937888860938495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9.3980302759556906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324.305205190060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377.053744118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12.040811993031678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9.3258770524386421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309.68731514989162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379.08606424700002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11.889179281468211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9.226781782573509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302.97485222220763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06.01504294599999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11.889297065842356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9.1243045297275529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301.20778086581856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17.28777841200002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11.84235337337218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9.0125693393254647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285.56400152751451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771.05395473999999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11.726506943578492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9.0242796368984237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281.15692731120902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12.20829225699998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11.625384058689411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9.0591858383548729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282.20557084133344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35.54137316600003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11.588447733995775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9.0905639922776071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301.37419052704928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38.00527363100002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11.807572225879351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9.1042090914791576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301.02022232212607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30.711349536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11.78135802437271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9.2966075780396977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294.90030994958278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25.347706351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11.787358214362747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9.4337533304419257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301.43999247909693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29.7153731849999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11.957574456237696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9.509673930874555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289.13772150990474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46.046084275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12.047151069160579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9.6951987932039589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298.07674498338815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456.8149833809999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12.101286184582174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9.812402235897556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340.8823780276390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456.79864056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12.176111082294335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10.008804960096684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366.86657407356518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49.51462812900002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12.281264919095099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10.108819650280008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379.02496606339781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47.1180300120000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12.499158537741764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0.5457972789038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425.05523203280393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922.72531626800003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12.443962859820935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10.499970199315419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430.2381278246837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463.14998701299999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12.484125725304724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10.46563509221024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456.59455585100841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12.39207326799999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12.441819747012488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10.379135686794035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445.60407441522932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11.5943977819999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12.25673081661048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10.37855170120538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450.01307557414594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10.2784026759999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12.371499766652574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10.260886014433783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454.17005051507419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08.858440578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12.514862571954058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.316523829940834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459.35105292290007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13.4894815860000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12.3632686611573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10.221778008625877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460.61454520839737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19.0246916749999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12.321886606472512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10.175138235116668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459.10474512637649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18.0763173210000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12.334427811336296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10.102755910405294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443.19976730602809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06.39059922199999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12.4258670513867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.96070737544726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438.7062817398030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05.92831718899998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12.473709176183496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0.01192822018052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452.07294692847893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38.42153933099996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12.5817489679860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9.8568744483508013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480.96945964855223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035.1231753689999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12.670018778521598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9.8446016563383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483.78999002942771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06.08966871400003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12.816524953456778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.9072564122192972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468.9910661537993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08.81532583800004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12.94848782026554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0.05689394385222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484.09994344308075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05.55164778300002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13.018383634628893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0.136502570128034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484.46947977325817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572.07677158000001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13.05331956116903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.259297770125967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510.25848410567539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594.94501857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13.001236032164922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.227135362114092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505.54834746967947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599.0584673910000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13.211082708775361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.303006609453234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512.58808262571722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581.04979499299998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13.271685079334901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0.474582680663705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518.82821032192078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579.97658635799996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13.327245085108842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.501566651711503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518.59251371042581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599.59495388799996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13.489396171657635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.579170481267942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528.81541333785049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595.05589760099997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13.49607259477926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0.582881776325994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548.86522774560365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00.42807178400005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13.407103983555739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10.927711935207974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582.01991200315138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209.9188018140001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13.565258691302983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11.047336940082426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579.61705739828574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661.947191728000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13.49891925099964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1.290699916806282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573.25125158774597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795.14528744799998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13.602997633547497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1.5031885456361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577.35160411371783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827.54187000499996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13.679654951061735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1.743031522738596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594.46001103463095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766.25270282300005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13.851871144611867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2.00154073458892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576.13983258603355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777.17560873699995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13.89691934751545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2.153427899565626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581.70674130599105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773.6248828750000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13.988851621761071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2.42676701305779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605.12412470428399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799.82989156300005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14.064628505157293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2.479687456821352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615.31693322357546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785.773014031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14.191525583414597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2.590013117307771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615.79090305475256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797.441509978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14.036309919597214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2.813033685549698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598.92032373325242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820.41106884199996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14.067104691608506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3.33867801145165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664.10381106713442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831.1969761640000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14.017171427507062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13.291944436428176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656.64334521087267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558.050573133999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14.03967562597458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.64903037828567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717.16744140496019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01.18739396399997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13.955700552507986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3.739588048168013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740.13532732509236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896.86581425300005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13.834502999930077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3.603786655362091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755.76538893839484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931.16989276899994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13.877870560766899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3.502309746751742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750.91168187722019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888.40269816199998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13.676557485037801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3.391044441527647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756.16455341623418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867.01381988499998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13.54543860054547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.269504813421902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756.8524808453489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873.7623446300000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13.366139987512906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3.140310798870043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738.804188315744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869.5995154570000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13.242188703464681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3.040658451654775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707.39034952310021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873.53872027399996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13.082576713314802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3.0568327248863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715.25776956896198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890.7099996580000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12.979012848774893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2.901475918451457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740.59085799893876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868.50159315099995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12.848014219911395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2.432482458183856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677.60176460495563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876.90691169399997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12.893895937045192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12.404693870687691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673.75852117089107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735.60409481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12.765876607371347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2.155215853463369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618.56755539447749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872.50565952800002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12.883809660254723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2.081462293411409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595.0989856768424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922.45189571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12.862910270779496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2.090108394740231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588.59604501036506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930.65053821599997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12.752655947611446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2.03833095735204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592.28016151020199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929.58726759599995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13.046494695173859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2.019175951744407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611.59890100984865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932.29748713799995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13.127393131546462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2.260043606314184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616.80868457481472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935.83177556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13.27182936199085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2.378790237365326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655.406547034587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902.58906870800001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13.216009402218367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2.490573528194837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691.18386832691624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907.22976820899999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13.403279790565129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2.59909596560853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710.37771265529091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959.41190094000001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13.541307629168298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2.701190534743473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712.8982263339553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943.00986995699998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13.497750183836029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2.809914197256322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710.94330809214023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939.05253205700001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13.7061047721172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12.728031573320784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735.44197452831952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1848.2250428770001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13.74560152884825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2.798372430578368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738.59054120690325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958.95601805599995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13.772192878915725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2.915515260789794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781.61945539536612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034.146786947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13.835003627711492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2.988762172818578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781.9497345768508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013.328719061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13.92625596169026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3.087337721910176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792.2020081970642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003.9660630229999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13.840218236580057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3.204149856634119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779.42639933266446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997.624618758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14.007305642131609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3.205706444188776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785.31420068094485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996.48943531400005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13.861568909743127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3.33743223545177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765.2564508613312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985.05465095199997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13.999900202695144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13.469161595940236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768.77154707287855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994.18307489699998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13.85729632070524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3.506169140711144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770.89753332252849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028.4505530819999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13.866167001007284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3.513283585700488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783.6395323762051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008.011721373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13.945338238968986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3.438642043213445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771.12671679079949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022.07907062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14.094490068090401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13.443978148346959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705.5568508725213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1935.582695695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14.150294510742908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3.583717385506638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697.22897967314691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970.77368041499994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14.253117669692795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3.591134468377344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678.7393092118962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023.50219435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14.196633315096607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3.559457886719452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680.99745924849276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013.631989778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14.114113508619207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3.448264585264454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677.30152153525478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000.91995313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13.933494616798635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3.400451073593224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712.16771326765866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972.50551937900002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13.814956131813313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3.266113559628282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738.37140694125401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030.092582087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13.780128964827176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13.1709186930547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756.1952871691604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992.08187274099998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14.00360781764091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2.992126575456256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772.97038483997187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979.86857313899998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14.126455757990525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2.960004645561789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769.01836926152043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982.5837087009999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14.030813343038423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2.966112993359065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794.231260012602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987.92017766599997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14.142005898909815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2.923927378082329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798.25314974887056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991.18900151000003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13.894932150070764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12.776992942608663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796.74911028466136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1955.2468021130001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3.843806517318034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2.831564594140161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856.4136849411122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997.45799137799997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13.72074531191222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2.650150017480906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862.83747806289216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052.4226263569999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13.80417867469211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2.568017841041659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896.99208568913616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010.374439865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13.780521813508827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2.66649183768841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916.154308330545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016.780969876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13.882943638840363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2.677728238669923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915.92824124374613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002.609156957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13.923611259296743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12.694912493964384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903.63871328250821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180.1315265369999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14.045502645894972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12.617087664847901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882.55930071764499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048.1815486549999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14.02926757882771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12.717622040447305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904.05073279806129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038.3485655859999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14.020415129680314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2.643407368183084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914.55536901011283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036.357954029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14.109453018166716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12.7135296400460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897.69987381922658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047.409163001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14.05702767016724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12.783311949385579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917.54143454230029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100.7667255379999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14.190824583338282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12.844278164926983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950.18265512009589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105.1143191709998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14.255023484257185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2.634529251254959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915.24589289780863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094.2546072780001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14.130501641422082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12.893432023818521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896.02184143610032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229.9928386219999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4.073360678683255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13.012729248717607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865.3271948383798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143.6138110510001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14.46580663328131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13.167621272405249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903.79486790831015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149.805411322000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14.418883264441476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13.159010992504143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902.41875282019919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136.115991506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14.43397192534135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13.208035269516218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910.3171215977691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148.2342689310001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14.484908269822455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13.23323413644304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942.14837524809479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154.6136059390001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14.344027689040853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13.21274169695997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899.23201148609223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134.3014320320001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14.393216350790963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13.34451832010102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862.45045272791822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162.0733697139999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14.421659915692461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13.342468063598565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833.24350564539668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137.423039219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14.481310659081005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13.394381926395358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817.51510354850711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160.816967665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14.109834955240359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13.367857199922911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822.24401436015728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274.8826325099999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14.227315960993304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13.509873335224022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810.29742490493049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152.5837656480001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14.47089039183363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13.461996312526773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819.4950234308194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291.1772281440001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14.541677908023248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13.607412228051793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858.15187753200496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187.4354929420001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14.395014838190926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13.583111913733319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814.96631340143267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253.7487247649999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14.417421701678041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13.784138622314209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809.02304038796592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253.4893834720001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14.344440716539813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13.742873513442504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816.74054543955765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238.160478113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14.357197856281855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13.8150528358971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818.1687840228344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247.474401986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14.31998771315015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13.936842664946246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887.23742221231828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243.656445634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14.25606557964836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14.004576316401796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950.44323512113124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248.1468292919999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14.269885897141698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13.999527518331048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1007.1698224885156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256.371467252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14.228840563669875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14.025416287768422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1084.257189340281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249.4155969379999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14.210117251745533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14.081686007966477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1105.3049765624939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470.3534936770002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14.103675426635029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14.136094921319586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1115.771037982598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240.8972521000001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14.150741419049504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14.152608139531637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1132.9826312935584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308.22265769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14.243185864236931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14.301191878146975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1205.2003832424375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412.6893260039999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13.613644477560786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14.573554570300093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1236.4563873293287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309.46708879400001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13.167798356778178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14.481364643275896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1241.2262578168607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768.80240700299998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13.226171814003262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14.638295732272548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1262.6602800988358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960.44707529799996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13.099259478314881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14.801879120397032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1280.6020610315522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275.621459852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13.24866466728094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14.957392715700312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1225.3217636157678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279.469883861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13.336768021529327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15.332113912331568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1210.383064619271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273.0669215989999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13.26564868067618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15.471386232849934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1192.8612138953388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268.8456303840001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13.245495206633434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15.612692198703462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1118.0118535239624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284.381517479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13.543923484022052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16.05162689641524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1279.7888320911961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453.90341493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13.611561612899393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15.856775793675231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1301.1761702428826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238.202112549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13.496829722610352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15.776489748696834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1288.8053308683336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396.3166971559999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13.372613254694421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15.648319993443184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1207.5274526769026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311.907620128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13.835719887970244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15.35475162204483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1200.7297768775879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299.732673768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14.18216200702037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15.31448016335542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1186.4169394439289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289.7787996049999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14.17189811829181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15.155946829492709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1181.265270231816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312.91917695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14.16786765974822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15.002923815841621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1175.5358489793114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305.215689849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13.93919652691514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14.799250852741025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1181.4475975636581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307.7207344440001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13.827647839776112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14.505862552292134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1207.22889906449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304.3665514740001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13.814161549753745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14.447438228287245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1229.2380992476822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336.32865137399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13.851615392645298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14.454128125260073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1222.609385248713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235.323714395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13.7092725466417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14.429570042627132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1161.1979972064103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436.9191007039999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13.597898713739315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14.465529622908456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1131.8475975359106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329.0651844829999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3.573038384795851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14.407403502900683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1194.7467412946628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465.8948889220001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13.676883675305591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14.527146214325811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1223.1532455670572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538.765523084000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13.868995182405861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14.494011634204513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1226.6641085274655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426.2567185309999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14.06646672936540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14.445306497513958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1225.1825160813648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449.418302305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14.024574861426959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14.452733933554185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1244.541731172709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432.725649684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14.093253103803482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14.42989782745626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1235.008938905235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435.6198846340001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14.145764114894975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14.396464842278849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1251.0443451903268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495.093202855000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14.232285137541037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14.40461486670834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1231.1982052616979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501.910477827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14.18993933424086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14.4212994983994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1262.8443469320812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407.5497374869999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14.163682790234844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14.397782483950621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1293.9165398984399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422.037478364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14.037312870584966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14.110563058344738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1195.1050843475766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670.8466313270001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094.9283837775"/>
    <n v="7373.170681818181"/>
    <n v="3160.2397387120004"/>
    <n v="1.0093551355256456"/>
    <n v="3160.2397387120004"/>
    <n v="41327.270772452997"/>
    <n v="14.038011693416955"/>
    <n v="6.9517947710427963E-2"/>
    <n v="6.9517947710427963E-2"/>
    <n v="0.11618148521496563"/>
    <n v="2313.7939413660006"/>
    <n v="0.73900716096233199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2988690352842E-2"/>
    <n v="91.270490181999989"/>
    <n v="2.9151059920755021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9016302715161741"/>
    <n v="3100.1502207429999"/>
    <n v="41969.121587536007"/>
    <n v="14.258433180226206"/>
    <n v="2972.7567628829997"/>
    <n v="0.94947458211112579"/>
    <n v="39197.617703605007"/>
    <n v="13.315154051305578"/>
    <n v="2678.5949338599999"/>
    <n v="0.85552166165294774"/>
    <n v="35437.712692139998"/>
    <n v="12.038138775225022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952920458178046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921083740282E-2"/>
    <n v="-75.465664395214375"/>
    <n v="-0.22042148680924914"/>
    <n v="354.25134699200055"/>
    <n v="0.11314502883220624"/>
    <n v="360.286152238"/>
    <n v="360.286152238"/>
    <n v="8589.2474462449736"/>
    <n v="1.3953438761408505"/>
    <n v="1.3953438761408505"/>
    <n v="0.11891441601601471"/>
    <n v="48.864480124737263"/>
    <n v="0.11507249705315495"/>
    <n v="0.11507249705315495"/>
    <n v="1222.4421683268827"/>
    <n v="2.9241018510267005"/>
    <n v="319.86005540600001"/>
    <n v="43.381615482570702"/>
    <n v="855.27072588603892"/>
    <n v="51.664655070999999"/>
    <n v="7.0071150256160619"/>
    <n v="40.426096831999985"/>
    <n v="5.4828646421665557"/>
    <n v="3460.4363729809997"/>
    <n v="1.1052355242047724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880388679126766E-2"/>
    <n v="-3.1445233378359494"/>
    <n v="-6.0348052459994506"/>
    <n v="-5471.1932498629758"/>
    <n v="-1.9274682209487154E-3"/>
    <n v="-1.8675080617553921"/>
    <n v="1434.789227448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094.9283837775"/>
    <n v="7292.0576315789476"/>
    <n v="2725.3689210520001"/>
    <n v="0.87046089667455973"/>
    <n v="5885.6086597640005"/>
    <n v="41033.59822876101"/>
    <n v="13.877895851140822"/>
    <n v="-1.4774194650062911E-2"/>
    <n v="-9.7273438315264138E-2"/>
    <n v="0.10340210325169341"/>
    <n v="1882.3280705669999"/>
    <n v="0.601200434731963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3571445673968E-2"/>
    <n v="165.24954907400002"/>
    <n v="5.2779375867578616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81758576574873"/>
    <n v="6319.3166859350004"/>
    <n v="42279.835645444007"/>
    <n v="14.293782860338563"/>
    <n v="3069.2396354269999"/>
    <n v="0.98029043500342683"/>
    <n v="39494.368792817004"/>
    <n v="13.349030785767569"/>
    <n v="3028.7358025949998"/>
    <n v="0.96735383681543163"/>
    <n v="35949.824435814997"/>
    <n v="12.14642053698150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936598187995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71496098292764"/>
    <n v="-159.05804132190755"/>
    <n v="-0.41588700919773935"/>
    <n v="-453.2937113079999"/>
    <n v="-0.14477836279493264"/>
    <n v="535.47513248199994"/>
    <n v="895.76128471999994"/>
    <n v="8420.3949454869726"/>
    <n v="-0.2397357320502338"/>
    <n v="4.7994337592695668E-2"/>
    <n v="3.6501611462896877E-2"/>
    <n v="73.432652282268592"/>
    <n v="0.17102644723316596"/>
    <n v="0.28609894428632093"/>
    <n v="1194.7676810551238"/>
    <n v="2.8546997768586575"/>
    <n v="484.16051696599999"/>
    <n v="66.395596610385653"/>
    <n v="826.45494089268846"/>
    <n v="0"/>
    <n v="0"/>
    <n v="51.314615515999947"/>
    <n v="7.0370556718829445"/>
    <n v="3754.641597674"/>
    <n v="1.1992023048906533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87414082160936"/>
    <n v="-3.2705867860563971"/>
    <n v="-988.76884378999989"/>
    <n v="-6122.088005167976"/>
    <n v="-0.31580481002809857"/>
    <n v="-2.0679765372703325"/>
    <n v="1666.119072534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094.9283837775"/>
    <n v="7184.7078260869566"/>
    <n v="3663.6910619100004"/>
    <n v="1.1701534358356693"/>
    <n v="9549.2997216740005"/>
    <n v="41431.88683944301"/>
    <n v="13.93337502733246"/>
    <n v="3.3555629312340463E-2"/>
    <n v="0.12197228875485733"/>
    <n v="9.8464250976300516E-2"/>
    <n v="2541.6816199550003"/>
    <n v="0.81179265121775546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4206955622973"/>
    <n v="179.154591735"/>
    <n v="5.7220534570716665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842119551357621"/>
    <n v="10653.214115547002"/>
    <n v="42707.190716779005"/>
    <n v="14.344461728505859"/>
    <n v="3992.5557868650003"/>
    <n v="1.275190181928181"/>
    <n v="39970.797097813003"/>
    <n v="13.423959481950726"/>
    <n v="3207.8848974200005"/>
    <n v="1.0245726157173396"/>
    <n v="36198.319977865001"/>
    <n v="12.160779193480758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5061756621084136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405851930009281"/>
    <n v="-160.26152992475892"/>
    <n v="-0.41108670117339963"/>
    <n v="114.46452174299986"/>
    <n v="3.6559046910748572E-2"/>
    <n v="615.89220963100001"/>
    <n v="1511.6534943510001"/>
    <n v="8253.577307148973"/>
    <n v="-0.21312832433482654"/>
    <n v="-7.682380292389035E-2"/>
    <n v="-1.2399693287412861E-2"/>
    <n v="85.722652129952579"/>
    <n v="0.19671101439115851"/>
    <n v="0.48280995867747944"/>
    <n v="1168.079572261719"/>
    <n v="2.784225801548827"/>
    <n v="513.56038788399997"/>
    <n v="71.47964820772718"/>
    <n v="802.24414003294692"/>
    <n v="138.82846017199998"/>
    <n v="19.322770463668366"/>
    <n v="102.33182174700005"/>
    <n v="14.2430039222254"/>
    <n v="4949.7896392430002"/>
    <n v="1.5809229695269205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1076953369125135"/>
    <n v="-3.1953125027222269"/>
    <n v="-501.42768788800015"/>
    <n v="-5756.404064536976"/>
    <n v="-0.16015196748040994"/>
    <n v="-1.9321322142522577"/>
    <n v="1675.528481624000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094.9283837775"/>
    <n v="7173.0261111111104"/>
    <n v="3757.1571939859996"/>
    <n v="1.2000057661044727"/>
    <n v="13306.456915660001"/>
    <n v="41232.919674003999"/>
    <n v="13.782922448021218"/>
    <n v="8.4167517617330656E-3"/>
    <n v="-5.0293455756764693E-2"/>
    <n v="6.9894015276731336E-2"/>
    <n v="2929.0321687449996"/>
    <n v="0.93550929868615618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4119629738686E-2"/>
    <n v="109.46923441599999"/>
    <n v="3.4963592345966583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412636396621248"/>
    <n v="14539.547619201001"/>
    <n v="43396.025695812998"/>
    <n v="14.494230719689563"/>
    <n v="3693.7406979529997"/>
    <n v="1.1797510477159121"/>
    <n v="40700.027800254"/>
    <n v="13.591748594251303"/>
    <n v="3248.3596990299998"/>
    <n v="1.0374999415667023"/>
    <n v="36833.930378629004"/>
    <n v="12.306393851937905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225110614920988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25787355765205E-2"/>
    <n v="-288.98710879564743"/>
    <n v="-0.71130827166834409"/>
    <n v="316.20468925499989"/>
    <n v="0.10099323259155785"/>
    <n v="886.91010285099992"/>
    <n v="2398.563597202"/>
    <n v="8504.9420276649726"/>
    <n v="0.39551026174162995"/>
    <n v="5.524418629258987E-2"/>
    <n v="1.0012132223562897E-2"/>
    <n v="123.64517974877641"/>
    <n v="0.28327194804122341"/>
    <n v="0.76608190671870291"/>
    <n v="1198.970659013346"/>
    <n v="2.8505486631893722"/>
    <n v="794.04577485999994"/>
    <n v="110.69885464797245"/>
    <n v="849.77867212354715"/>
    <n v="23.893411927000002"/>
    <n v="3.3310086366462262"/>
    <n v="92.864327990999982"/>
    <n v="12.946325100803961"/>
    <n v="4773.2436065049997"/>
    <n v="1.5245355877033482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45298215988755"/>
    <n v="-3.5618569348577167"/>
    <n v="-570.70541359599997"/>
    <n v="-6801.9506278489762"/>
    <n v="-0.18227871544966556"/>
    <n v="-2.2765021925443198"/>
    <n v="1574.9236876150001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094.9283837775"/>
    <n v="7207.7045238095252"/>
    <n v="4261.0299709129995"/>
    <n v="1.3609386753432247"/>
    <n v="17567.486886573002"/>
    <n v="41394.628839571"/>
    <n v="13.744521393578903"/>
    <n v="1.5771958095236904E-2"/>
    <n v="3.9447794706896966E-2"/>
    <n v="5.1000832380441175E-2"/>
    <n v="3323.9881686999997"/>
    <n v="1.0616550660397814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470075748271"/>
    <n v="153.70041273300001"/>
    <n v="4.9090674680172725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61785996218171"/>
    <n v="18284.722149029003"/>
    <n v="44084.455875520005"/>
    <n v="14.646962364063688"/>
    <n v="3535.1628177450002"/>
    <n v="1.1291025491833451"/>
    <n v="41355.826507001009"/>
    <n v="13.737954515343585"/>
    <n v="2950.0368438270002"/>
    <n v="0.94221802283906042"/>
    <n v="37120.070865730006"/>
    <n v="12.33926708694375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88452634428471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76007572140777"/>
    <n v="-369.55582741610658"/>
    <n v="-0.90244097048478511"/>
    <n v="1100.9814150029993"/>
    <n v="0.35164460206569248"/>
    <n v="363.67095662999998"/>
    <n v="2762.2345538320001"/>
    <n v="8422.4469063949728"/>
    <n v="-0.18489778886437391"/>
    <n v="1.5841133837978472E-2"/>
    <n v="3.5024420468610096E-4"/>
    <n v="50.45586364267151"/>
    <n v="0.11615357633140218"/>
    <n v="0.88223548305010513"/>
    <n v="1184.3194153582931"/>
    <n v="2.8143994682729501"/>
    <n v="219.65835102299999"/>
    <n v="30.475493313771807"/>
    <n v="836.56633832215175"/>
    <n v="0"/>
    <n v="0"/>
    <n v="144.01260560699998"/>
    <n v="19.980370328899699"/>
    <n v="4108.8454864579999"/>
    <n v="1.3123321759532189"/>
    <n v="152.18448445499928"/>
    <n v="-3479.4698162879999"/>
    <n v="-11112.273942343976"/>
    <n v="21.114140285895687"/>
    <n v="-1553.8752427743996"/>
    <n v="-0.74483260144202679"/>
    <n v="2.6201025607462256"/>
    <n v="0.19347390726383518"/>
    <n v="4.8606499390005595E-2"/>
    <n v="-3.7168404387577354"/>
    <n v="737.31045837299928"/>
    <n v="-6876.5183010729761"/>
    <n v="0.23549102573429032"/>
    <n v="-2.3181530103579004"/>
    <n v="1574.99943995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094.9283837775"/>
    <n v="7251.6616666666669"/>
    <n v="3561.1343769650002"/>
    <n v="1.1373976561510841"/>
    <n v="21128.621263538003"/>
    <n v="41952.915905579997"/>
    <n v="13.856870329654093"/>
    <n v="4.0943762824742214E-2"/>
    <n v="0.18591923204755356"/>
    <n v="6.2065289297391191E-2"/>
    <n v="2437.9879743860001"/>
    <n v="0.77867373546135044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4180345749776"/>
    <n v="142.31884875599999"/>
    <n v="4.5455494757025268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51450650532312"/>
    <n v="21557.018341964002"/>
    <n v="44381.575511882998"/>
    <n v="14.676504367919971"/>
    <n v="3101.5880139799992"/>
    <n v="0.99062224673860388"/>
    <n v="41678.058020304001"/>
    <n v="13.779818624011369"/>
    <n v="2850.1867379299993"/>
    <n v="0.91032670271693783"/>
    <n v="37298.717024691003"/>
    <n v="12.337639578365422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8.029554402166611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2252591097852624E-2"/>
    <n v="-333.75995523376588"/>
    <n v="-0.81963403826587911"/>
    <n v="540.23946008000075"/>
    <n v="0.17254813511951872"/>
    <n v="332.22961023699997"/>
    <n v="3094.4641640690002"/>
    <n v="8009.0863417629989"/>
    <n v="-0.55440720460756521"/>
    <n v="-0.10687234903353593"/>
    <n v="-6.4623147402826264E-2"/>
    <n v="45.814273404969022"/>
    <n v="0.1061114633673555"/>
    <n v="0.98834694641746057"/>
    <n v="1121.4171470468361"/>
    <n v="2.6659970735223282"/>
    <n v="223.802180569"/>
    <n v="30.86219281268178"/>
    <n v="788.64383952377477"/>
    <n v="0"/>
    <n v="0"/>
    <n v="108.42742966799997"/>
    <n v="14.952080592287235"/>
    <n v="3604.5258031719995"/>
    <n v="1.1512565284205869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58872269502867E-2"/>
    <n v="-3.4856311117882077"/>
    <n v="208.00984984300081"/>
    <n v="-6058.4049524530019"/>
    <n v="6.6436671752163223E-2"/>
    <n v="-2.0434520661422595"/>
    <n v="1595.8363572789999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094.9283837775"/>
    <n v="7272.6780952380959"/>
    <n v="4099.5153899520001"/>
    <n v="1.3093522182278856"/>
    <n v="25228.136653490004"/>
    <n v="42420.270778136"/>
    <n v="13.926352150248722"/>
    <n v="5.425944354841139E-2"/>
    <n v="0.12867131568597645"/>
    <n v="6.1468024194655468E-2"/>
    <n v="2962.2021577759997"/>
    <n v="0.9461035261947990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481238652473"/>
    <n v="102.59623418500001"/>
    <n v="3.276841139350626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832179021555649"/>
    <n v="25261.613585342002"/>
    <n v="44814.533296123991"/>
    <n v="14.742919634854943"/>
    <n v="3351.3208788680004"/>
    <n v="1.0703849136643007"/>
    <n v="42182.589218763991"/>
    <n v="13.878426482085567"/>
    <n v="3230.3642942770002"/>
    <n v="1.0317523541350266"/>
    <n v="37791.815184501007"/>
    <n v="12.435001716452728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632559529273795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613431607232062"/>
    <n v="-331.94831425324514"/>
    <n v="-0.81656748460622064"/>
    <n v="515.8767311649998"/>
    <n v="0.16476687560159442"/>
    <n v="602.87989839299996"/>
    <n v="3697.3440624620002"/>
    <n v="8005.1386765069992"/>
    <n v="-6.505415199437814E-3"/>
    <n v="-9.1913670558207872E-2"/>
    <n v="-5.8099252070342944E-2"/>
    <n v="82.896546567590477"/>
    <n v="0.192554986918861"/>
    <n v="1.1809019333363215"/>
    <n v="1115.9628167902531"/>
    <n v="2.6514060576605321"/>
    <n v="391.12075466499999"/>
    <n v="53.779467418074326"/>
    <n v="785.53494917084299"/>
    <n v="0"/>
    <n v="0"/>
    <n v="211.75914372799997"/>
    <n v="29.117079149516147"/>
    <n v="4307.4751417710004"/>
    <n v="1.3757728890744259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420670846540381E-2"/>
    <n v="-3.467973542266753"/>
    <n v="-87.00316722800018"/>
    <n v="-6008.6271602320012"/>
    <n v="-2.7788111317266585E-2"/>
    <n v="-2.0245487766339161"/>
    <n v="1650.62713128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094.9283837775"/>
    <n v="7273.1797727272724"/>
    <n v="3355.974272125"/>
    <n v="1.0718711700150569"/>
    <n v="28584.110925615005"/>
    <n v="42755.985863119997"/>
    <n v="13.967230900908724"/>
    <n v="6.0635607351396281E-2"/>
    <n v="0.1111543957595873"/>
    <n v="5.9997437459831549E-2"/>
    <n v="2441.3896434349999"/>
    <n v="0.77976020117529843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51832225822728E-2"/>
    <n v="48.431582518999996"/>
    <n v="1.5468657626940149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77656605287669"/>
    <n v="28761.281179673002"/>
    <n v="45136.734030143998"/>
    <n v="14.776028634233519"/>
    <n v="3310.0002473730001"/>
    <n v="1.0571874365578202"/>
    <n v="42463.071259370998"/>
    <n v="13.901460850333208"/>
    <n v="3027.6640860420002"/>
    <n v="0.96701153917473481"/>
    <n v="38050.740019097"/>
    <n v="12.456879410305481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9.0175897383085429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894490513710091E-2"/>
    <n v="-328.83659080227943"/>
    <n v="-0.80879773332479399"/>
    <n v="138.64283912499985"/>
    <n v="4.4281406869375338E-2"/>
    <n v="349.55572974400008"/>
    <n v="4046.8997922060003"/>
    <n v="7734.1455853179996"/>
    <n v="-0.4366990670960581"/>
    <n v="-0.13751264783373396"/>
    <n v="-0.10123416162081356"/>
    <n v="48.060922549275148"/>
    <n v="0.11164528647858857"/>
    <n v="1.2925472198149102"/>
    <n v="1073.7551636126511"/>
    <n v="2.5512214677677285"/>
    <n v="201.623474558"/>
    <n v="27.721502954463052"/>
    <n v="755.67143774820249"/>
    <n v="53.157420969999997"/>
    <n v="7.3086906457788832"/>
    <n v="147.93225518600008"/>
    <n v="20.339419594812096"/>
    <n v="3849.2233240750002"/>
    <n v="1.229410947007355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753977699229865"/>
    <n v="-3.3600192010925229"/>
    <n v="-210.91289061900022"/>
    <n v="-5702.5625120680006"/>
    <n v="-6.7363879609213223E-2"/>
    <n v="-1.9154377610647959"/>
    <n v="1586.677879607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094.9283837775"/>
    <n v="7276.0522500000006"/>
    <n v="3923.9104503730005"/>
    <n v="1.2532654139843651"/>
    <n v="32508.021375988006"/>
    <n v="42837.768695979998"/>
    <n v="13.908951774372941"/>
    <n v="5.5725683712493534E-2"/>
    <n v="2.1285818952817115E-2"/>
    <n v="4.8333447793650341E-2"/>
    <n v="2996.6677465180005"/>
    <n v="0.95711155782275148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5488797893738E-2"/>
    <n v="176.13556780499999"/>
    <n v="5.6256282627836447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63606789480555"/>
    <n v="32914.049197536006"/>
    <n v="45610.022367291996"/>
    <n v="14.846366096982342"/>
    <n v="3915.3432003879998"/>
    <n v="1.2505291032976269"/>
    <n v="42846.438475480994"/>
    <n v="13.946318440193032"/>
    <n v="3003.2935539629998"/>
    <n v="0.95922778738903736"/>
    <n v="38153.122977266998"/>
    <n v="12.425855484787565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130131590858965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3095264963690565E-2"/>
    <n v="-383.61138317888106"/>
    <n v="-0.9374143226093995"/>
    <n v="683.19207893500072"/>
    <n v="0.21820605094489903"/>
    <n v="264.53358075799997"/>
    <n v="4311.4333729640002"/>
    <n v="7345.6488628299994"/>
    <n v="-0.59491377437909065"/>
    <n v="-0.19339441245673272"/>
    <n v="-0.13330271697874618"/>
    <n v="36.356745618202503"/>
    <n v="8.4489896442444687E-2"/>
    <n v="1.3770371162573549"/>
    <n v="1016.4772294867981"/>
    <n v="2.4127936440614328"/>
    <n v="172.231686454"/>
    <n v="23.671034860146861"/>
    <n v="726.01906992001295"/>
    <n v="0"/>
    <n v="0"/>
    <n v="92.301894303999973"/>
    <n v="12.685710758055643"/>
    <n v="4417.3015986209994"/>
    <n v="1.4108505753905001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758516140613527"/>
    <n v="-3.3502079666708329"/>
    <n v="418.65849817700075"/>
    <n v="-5424.5870359279998"/>
    <n v="0.13371615450245436"/>
    <n v="-1.8297450112653684"/>
    <n v="1591.795769234000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094.9283837775"/>
    <n v="7384.8424999999988"/>
    <n v="3443.18931028"/>
    <n v="1.0997269512010415"/>
    <n v="35951.210686268008"/>
    <n v="43214.131451597998"/>
    <n v="13.961790119855891"/>
    <n v="6.1793852709435049E-2"/>
    <n v="0.12272058719651957"/>
    <n v="5.4473320993257079E-2"/>
    <n v="2436.6934816090002"/>
    <n v="0.77826028488785115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726744680099"/>
    <n v="101.52181302599999"/>
    <n v="3.2425249923422321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64587030930387"/>
    <n v="36691.410209965004"/>
    <n v="45889.529166624998"/>
    <n v="14.858801057654512"/>
    <n v="3528.0669698510001"/>
    <n v="1.1268361924810408"/>
    <n v="43130.479172681"/>
    <n v="13.965777322298994"/>
    <n v="3041.7202679510001"/>
    <n v="0.97150097053715223"/>
    <n v="38347.440629046003"/>
    <n v="12.425370168643147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533522194388863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73175189199739"/>
    <n v="-368.80430546293633"/>
    <n v="-0.8970109377986184"/>
    <n v="152.17499975099963"/>
    <n v="4.8603470051891244E-2"/>
    <n v="658.11103892300002"/>
    <n v="4969.544411887"/>
    <n v="6947.415507484"/>
    <n v="-0.37699197109062255"/>
    <n v="-0.22369078275874921"/>
    <n v="-0.20453201897785378"/>
    <n v="89.116462392122799"/>
    <n v="0.21019536864433572"/>
    <n v="1.5872324849016906"/>
    <n v="958.40582525230434"/>
    <n v="2.2623964293419276"/>
    <n v="508.53951208899997"/>
    <n v="68.862607711538871"/>
    <n v="684.50449492342761"/>
    <n v="56.376991611999998"/>
    <n v="7.634149490933626"/>
    <n v="149.57152683400005"/>
    <n v="20.25385468058392"/>
    <n v="4435.4720513520006"/>
    <n v="1.4166540717373746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692712053633315"/>
    <n v="-3.1594073671405467"/>
    <n v="-505.93603917200039"/>
    <n v="-4839.7746788759996"/>
    <n v="-0.16159189859244447"/>
    <n v="-1.6190002134846988"/>
    <n v="1626.8121063839999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094.9283837775"/>
    <n v="7442.1713636363629"/>
    <n v="3941.2542054360001"/>
    <n v="1.2588048697502345"/>
    <n v="39892.46489170401"/>
    <n v="43379.450107076009"/>
    <n v="13.931645701891169"/>
    <n v="5.9986726872555796E-2"/>
    <n v="4.3782170879436366E-2"/>
    <n v="5.2943647001154615E-2"/>
    <n v="2988.6901219080005"/>
    <n v="0.95456356873484716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6209085444872E-2"/>
    <n v="200.22263622700001"/>
    <n v="6.3949498403109303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81504635127824"/>
    <n v="40505.377531307007"/>
    <n v="46068.319555201"/>
    <n v="14.836051443235956"/>
    <n v="3580.1635301589999"/>
    <n v="1.1434754145140922"/>
    <n v="43346.922671589004"/>
    <n v="13.961016894068962"/>
    <n v="2920.9666830830001"/>
    <n v="0.93293324748544382"/>
    <n v="38331.609427564006"/>
    <n v="12.355801257023952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1054216702864839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654406237451909E-2"/>
    <n v="-371.30094295350278"/>
    <n v="-0.90440574134478946"/>
    <n v="786.48373116999994"/>
    <n v="0.25119657326610034"/>
    <n v="928.61867993700002"/>
    <n v="5898.1630918239998"/>
    <n v="7145.4887387320005"/>
    <n v="0.27113060741594119"/>
    <n v="-0.17300554041454019"/>
    <n v="-0.20428116209468516"/>
    <n v="124.77792227069362"/>
    <n v="0.29659333184686454"/>
    <n v="1.8838258167485549"/>
    <n v="981.45809348892703"/>
    <n v="2.3096115545767741"/>
    <n v="764.22461120000003"/>
    <n v="102.68839211820941"/>
    <n v="721.45950465851183"/>
    <n v="39.385495341000002"/>
    <n v="5.2922048440652443"/>
    <n v="164.394068737"/>
    <n v="22.089530152484212"/>
    <n v="4742.5860012789999"/>
    <n v="1.514743795359647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593892560941262"/>
    <n v="-3.2140172959215638"/>
    <n v="-142.13494876700008"/>
    <n v="-4819.0449428320007"/>
    <n v="-4.5396758580764217E-2"/>
    <n v="-1.6088016588765515"/>
    <n v="1411.7286880189999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094.9283837775"/>
    <n v="7335.2122222222233"/>
    <n v="4049.554153309"/>
    <n v="1.2933950013860465"/>
    <n v="43942.01904501301"/>
    <n v="43942.01904501301"/>
    <n v="14.034727190199288"/>
    <n v="6.8580602035307026E-2"/>
    <n v="0.16133390398587744"/>
    <n v="6.8580602035307026E-2"/>
    <n v="2495.1373023790002"/>
    <n v="0.79692677082286512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50333162415126E-2"/>
    <n v="340.06244851899999"/>
    <n v="0.10861320886749304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552174104285239"/>
    <n v="48505.63365253801"/>
    <n v="48505.63365253801"/>
    <n v="15.492308962948771"/>
    <n v="7401.6400526560001"/>
    <n v="2.3640242564336291"/>
    <n v="45451.578594148006"/>
    <n v="14.516868359629106"/>
    <n v="7046.4681989370001"/>
    <n v="2.2505852251620504"/>
    <n v="40234.275998915"/>
    <n v="12.850503905191864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43903127157859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618224090424772"/>
    <n v="-623.10766912893587"/>
    <n v="-1.4575817727494866"/>
    <n v="-3595.5301142030003"/>
    <n v="-1.1483833777708987"/>
    <n v="2366.272428498"/>
    <n v="8264.4355203220002"/>
    <n v="8264.4355203220002"/>
    <n v="0.89707670516016469"/>
    <n v="-1.371663705089099E-2"/>
    <n v="-1.371663705089099E-2"/>
    <n v="322.59086128814567"/>
    <n v="0.75576836734880959"/>
    <n v="2.6395941840973647"/>
    <n v="1131.7345620194055"/>
    <n v="2.6395941840973647"/>
    <n v="2063.108162004"/>
    <n v="281.26086873857014"/>
    <n v="911.27727487611219"/>
    <n v="109.6873103775232"/>
    <n v="14.953529230582115"/>
    <n v="303.164266494"/>
    <n v="41.32999254957555"/>
    <n v="10366.528549729001"/>
    <n v="3.3109857777773333"/>
    <n v="-6316.9743964200006"/>
    <n v="-12828.050127847"/>
    <n v="-12828.050127847"/>
    <n v="-861.18495348812905"/>
    <n v="-1754.8422311483414"/>
    <n v="0.90082380331485945"/>
    <n v="0.49268270950274329"/>
    <n v="0.49268270950274329"/>
    <n v="-2.017590776391287"/>
    <n v="-4.0971759568468515"/>
    <n v="-5961.8025427010007"/>
    <n v="-7610.7475326140002"/>
    <n v="-1.9041517451197083"/>
    <n v="-2.430811502409612"/>
    <n v="3295.8609907209998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2570.39534209348"/>
    <n v="7282.9988636363632"/>
    <n v="3804.6259361790007"/>
    <n v="1.1440061982262222"/>
    <n v="3804.6259361790007"/>
    <n v="44586.405242480003"/>
    <n v="14.169378252899865"/>
    <n v="0.20390421320682117"/>
    <n v="0.20390421320682117"/>
    <n v="7.8861594513988775E-2"/>
    <n v="2901.7446344780005"/>
    <n v="0.87252042728973667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509309937985215E-2"/>
    <n v="81.670096715"/>
    <n v="2.455723595931962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4260064570465409"/>
    <n v="2802.2402985750005"/>
    <n v="48207.723730370009"/>
    <n v="15.344746581501807"/>
    <n v="2674.2446948890006"/>
    <n v="0.80411387554150138"/>
    <n v="45153.066526154005"/>
    <n v="14.371507653059481"/>
    <n v="2611.5491690860008"/>
    <n v="0.7852620695235577"/>
    <n v="40167.230234141003"/>
    <n v="12.780244313062473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851806017943718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30140555252156809"/>
    <n v="-493.62378270876468"/>
    <n v="-1.1753683286019467"/>
    <n v="1065.0811634070003"/>
    <n v="0.32025735853951187"/>
    <n v="37.041825209999999"/>
    <n v="37.041825209999999"/>
    <n v="7941.1911932939993"/>
    <n v="-0.89718776317128424"/>
    <n v="-0.89718776317128424"/>
    <n v="-7.5449712795768842E-2"/>
    <n v="5.0860676904603013"/>
    <n v="1.1138040465657651E-2"/>
    <n v="1.1138040465657651E-2"/>
    <n v="1087.9561495851285"/>
    <n v="2.5356597275098678"/>
    <n v="0"/>
    <n v="0"/>
    <n v="867.89565939354156"/>
    <n v="0"/>
    <n v="0"/>
    <n v="37.041825209999999"/>
    <n v="5.0860676904603013"/>
    <n v="2839.2821237850003"/>
    <n v="0.85373868617031157"/>
    <n v="965.34381239400034"/>
    <n v="965.34381239400034"/>
    <n v="-11562.509681184001"/>
    <n v="132.54757147003167"/>
    <n v="-1581.5799322938935"/>
    <n v="-4.2157049819851657"/>
    <n v="-4.2157049819851657"/>
    <n v="0.2525605679687164"/>
    <n v="0.2902675120559105"/>
    <n v="-3.7110280561118145"/>
    <n v="1028.0393381970002"/>
    <n v="-6576.673389171001"/>
    <n v="0.30911931807385418"/>
    <n v="-2.1197647161148088"/>
    <n v="1543.126492307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2570.39534209348"/>
    <n v="7285.0480952380958"/>
    <n v="3209.7257207530001"/>
    <n v="0.96512671173011788"/>
    <n v="7014.3516569320009"/>
    <n v="45070.762042180999"/>
    <n v="14.264044067955423"/>
    <n v="0.19178016453667168"/>
    <n v="0.17772155393701228"/>
    <n v="9.8386785163536716E-2"/>
    <n v="2370.0602069780002"/>
    <n v="0.71264918350296147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1363243650915351E-2"/>
    <n v="101.03874689"/>
    <n v="3.0381160892588778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430222442237514"/>
    <n v="6603.5938950380005"/>
    <n v="48789.910861641001"/>
    <n v="15.459592968068071"/>
    <n v="3609.0172354829997"/>
    <n v="1.0851889663151282"/>
    <n v="45692.844126209995"/>
    <n v="14.47640618437118"/>
    <n v="3084.7871149109997"/>
    <n v="0.92755914480538182"/>
    <n v="40223.281546456994"/>
    <n v="12.740449621052425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762982150974644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789553249363355"/>
    <n v="-507.11785938269333"/>
    <n v="-1.1955489001126529"/>
    <n v="-67.397755137999411"/>
    <n v="-2.0265710983887106E-2"/>
    <n v="184.82380115500004"/>
    <n v="221.86562636500003"/>
    <n v="7590.5398619670004"/>
    <n v="-0.65484148573190204"/>
    <n v="-0.75231612467561426"/>
    <n v="-9.8552988178392309E-2"/>
    <n v="25.370292514034457"/>
    <n v="5.5574339671720881E-2"/>
    <n v="6.6712380137378527E-2"/>
    <n v="1039.8937898168945"/>
    <n v="2.4202076199484224"/>
    <n v="127.433595526"/>
    <n v="17.492485136686682"/>
    <n v="818.99254791984254"/>
    <n v="64.556258688"/>
    <n v="8.8614732317549816"/>
    <n v="57.390205629000036"/>
    <n v="7.8778073773477759"/>
    <n v="3986.1773976179998"/>
    <n v="1.1985965838954724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346987216535442"/>
    <n v="-3.6157565200610753"/>
    <n v="-252.22155629299948"/>
    <n v="-5840.1261016740009"/>
    <n v="-7.5840050655607991E-2"/>
    <n v="-1.879799956742318"/>
    <n v="1763.2092971229999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2570.39534209348"/>
    <n v="7317.5874999999996"/>
    <n v="3438.5597139500001"/>
    <n v="1.0339343976823245"/>
    <n v="10452.911370882"/>
    <n v="44845.630694220999"/>
    <n v="14.127825029802077"/>
    <n v="9.462595955147135E-2"/>
    <n v="-6.1449326418541395E-2"/>
    <n v="8.239411996868351E-2"/>
    <n v="2680.8021049700001"/>
    <n v="0.80608561150262137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8305785367672603E-2"/>
    <n v="75.467958120999995"/>
    <n v="2.2692325949028334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450387840422544"/>
    <n v="11741.935487316001"/>
    <n v="49594.355024306999"/>
    <n v="15.620419796974565"/>
    <n v="4934.9658988189994"/>
    <n v="1.4838861089071749"/>
    <n v="46635.254238163994"/>
    <n v="14.685102111350174"/>
    <n v="4011.0284479069996"/>
    <n v="1.2060690019570492"/>
    <n v="41026.425096944004"/>
    <n v="12.921946007292135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781710695012579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1110438635992983"/>
    <n v="-646.12271358222824"/>
    <n v="-1.4925947671724895"/>
    <n v="-775.84442741599946"/>
    <n v="-0.23328727940980401"/>
    <n v="468.93283557800009"/>
    <n v="690.79846194300012"/>
    <n v="7443.5804879140005"/>
    <n v="-0.23861216582208078"/>
    <n v="-0.54301798360239861"/>
    <n v="-9.8138878342289293E-2"/>
    <n v="64.082983029311251"/>
    <n v="0.14100257934734073"/>
    <n v="0.20771495948471927"/>
    <n v="1018.2541207162531"/>
    <n v="2.3644991849046049"/>
    <n v="387.29189993599999"/>
    <n v="52.926172722362395"/>
    <n v="800.43907243447779"/>
    <n v="0"/>
    <n v="0"/>
    <n v="81.640935642000102"/>
    <n v="11.156810306948854"/>
    <n v="5607.2744278559994"/>
    <n v="1.686041363389595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5210696570727067"/>
    <n v="-3.8570939520770944"/>
    <n v="-1244.7772629939998"/>
    <n v="-6583.47567678"/>
    <n v="-0.37428985875714482"/>
    <n v="-2.0939378480190536"/>
    <n v="1653.6904473039999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2570.39534209348"/>
    <n v="7405.4070454545454"/>
    <n v="5280.9667066130005"/>
    <n v="1.5879244757131237"/>
    <n v="15733.878077495001"/>
    <n v="46369.440206847998"/>
    <n v="14.515743739410727"/>
    <n v="0.18242430552480382"/>
    <n v="0.40557512873460011"/>
    <n v="0.12457329176430854"/>
    <n v="4063.1005273820001"/>
    <n v="1.2217264628147535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756690811279047E-2"/>
    <n v="321.20730355900002"/>
    <n v="9.6583252164882269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500712398677545"/>
    <n v="15899.302351802002"/>
    <n v="49865.388385138998"/>
    <n v="15.629227397180193"/>
    <n v="3906.993386860001"/>
    <n v="1.1747868846958345"/>
    <n v="46848.506927070994"/>
    <n v="14.680137948330097"/>
    <n v="3433.9365634220012"/>
    <n v="1.0325442707820505"/>
    <n v="41212.001961335991"/>
    <n v="12.916990336507483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224261391378426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785323584536914"/>
    <n v="-476.3871400632197"/>
    <n v="-1.1134836577694684"/>
    <n v="1596.6566655649997"/>
    <n v="0.48009584975915343"/>
    <n v="612.93987192400004"/>
    <n v="1303.7383338670002"/>
    <n v="7169.610256986999"/>
    <n v="-0.30890417196321718"/>
    <n v="-0.4564503791403105"/>
    <n v="-0.15700656939628643"/>
    <n v="82.769234447446593"/>
    <n v="0.18430379868704452"/>
    <n v="0.39201875817176379"/>
    <n v="977.37817541492325"/>
    <n v="2.2655310355504255"/>
    <n v="482.82380087799999"/>
    <n v="65.19881998577759"/>
    <n v="754.93903777228297"/>
    <n v="0"/>
    <n v="0"/>
    <n v="130.11607104600006"/>
    <n v="17.570414461669003"/>
    <n v="4770.3067364100007"/>
    <n v="1.4343750385547991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354943715832461"/>
    <n v="-3.3790146933198946"/>
    <n v="983.71679364099964"/>
    <n v="-5029.0534695429997"/>
    <n v="0.29579205107210887"/>
    <n v="-1.6158670814972786"/>
    <n v="1657.12905482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2570.39534209348"/>
    <n v="7506.9517499999993"/>
    <n v="5401.0182893279998"/>
    <n v="1.6240225723556434"/>
    <n v="21134.896366822999"/>
    <n v="47509.428525263"/>
    <n v="14.778827636423147"/>
    <n v="0.20306885687654064"/>
    <n v="0.26753820700555608"/>
    <n v="0.1477196403763037"/>
    <n v="4387.6120386270004"/>
    <n v="1.3193032513052614"/>
    <n v="16403.319512435002"/>
    <n v="35162.087940445999"/>
    <n v="0.31998425263438302"/>
    <n v="0.26268507302983735"/>
    <n v="0.16586284323888312"/>
    <n v="3039.3518615140001"/>
    <n v="21275.856110476001"/>
    <n v="0.17294009988602443"/>
    <n v="0.31532367180102905"/>
    <n v="1313.3569301990001"/>
    <n v="13878.480948034998"/>
    <n v="0.15680993779301078"/>
    <n v="0.26270212708837182"/>
    <n v="980.43224453300002"/>
    <n v="686.39956514099993"/>
    <n v="0.23766863101257241"/>
    <n v="0.18378289413807347"/>
    <n v="259.91833523700001"/>
    <n v="7.8154381411381785E-2"/>
    <n v="155.119391001"/>
    <n v="4.6642573474238079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797388957862879"/>
    <n v="20155.335056865002"/>
    <n v="50376.246560373991"/>
    <n v="15.712787693344666"/>
    <n v="4018.3227295779993"/>
    <n v="1.2082623065244915"/>
    <n v="47331.666838903999"/>
    <n v="14.759297705671244"/>
    <n v="3325.7830593289991"/>
    <n v="1.0000237862146397"/>
    <n v="41587.748176837995"/>
    <n v="12.974796099883061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823852030985185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442836765693556"/>
    <n v="-395.43377333538172"/>
    <n v="-0.93396005692152051"/>
    <n v="1837.5252545140004"/>
    <n v="0.55252219687920745"/>
    <n v="508.08560216199999"/>
    <n v="1811.8239360290002"/>
    <n v="7314.0249025189996"/>
    <n v="0.39710249856143442"/>
    <n v="-0.34407310432219151"/>
    <n v="-0.13160332338033187"/>
    <n v="67.682012497549351"/>
    <n v="0.15277535501600059"/>
    <n v="0.54479411318776438"/>
    <n v="994.60432426980105"/>
    <n v="2.3021528142350238"/>
    <n v="358.75900957499999"/>
    <n v="47.790237838547455"/>
    <n v="772.25378229705859"/>
    <n v="0"/>
    <n v="0"/>
    <n v="149.32659258699999"/>
    <n v="19.891774659001907"/>
    <n v="4764.1183072249996"/>
    <n v="1.4325142508022886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9150832155335501"/>
    <n v="-3.236112871156545"/>
    <n v="1329.4396523520004"/>
    <n v="-4436.9242755639989"/>
    <n v="0.39974684186320686"/>
    <n v="-1.4516112653683619"/>
    <n v="1654.1542725290001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2570.39534209348"/>
    <n v="7529.649736842106"/>
    <n v="4396.6861224169998"/>
    <n v="1.3220317214027471"/>
    <n v="25531.582489239998"/>
    <n v="48344.980270715001"/>
    <n v="14.963461701674808"/>
    <n v="0.20838847792213744"/>
    <n v="0.23463078249917202"/>
    <n v="0.15236281500721183"/>
    <n v="2655.7522247849997"/>
    <n v="0.79855340763365312"/>
    <n v="19059.071737220002"/>
    <n v="35379.852190845006"/>
    <n v="8.9321298007568162E-2"/>
    <n v="0.23529094830784181"/>
    <n v="0.1627041644915006"/>
    <n v="1522.137188813"/>
    <n v="21444.200373231004"/>
    <n v="0.17112214125799396"/>
    <n v="0.12435008302576089"/>
    <n v="1168.641064402"/>
    <n v="13947.491860258"/>
    <n v="0.14959955862885899"/>
    <n v="6.2758293855665892E-2"/>
    <n v="946.01547004100007"/>
    <n v="647.23786840499997"/>
    <n v="0.12130497320420042"/>
    <n v="5.0564060375549502E-2"/>
    <n v="252.199702183"/>
    <n v="7.5833479382185709E-2"/>
    <n v="115.63039133999999"/>
    <n v="3.4768696480352239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864501755642534"/>
    <n v="24101.117096276001"/>
    <n v="51049.732406850002"/>
    <n v="15.854092803855686"/>
    <n v="3689.903493622"/>
    <n v="1.1095105112487349"/>
    <n v="47919.982318545997"/>
    <n v="14.878185970181375"/>
    <n v="3366.3982402880001"/>
    <n v="1.0122362926577411"/>
    <n v="42103.959679195999"/>
    <n v="13.076705689823866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7274218590993708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558154583849361"/>
    <n v="-375.38058800549766"/>
    <n v="-0.8906311021808796"/>
    <n v="774.40933633999975"/>
    <n v="0.2328557644294873"/>
    <n v="529.7948712650001"/>
    <n v="2341.6188072940004"/>
    <n v="7511.590163547"/>
    <n v="0.59466481896982204"/>
    <n v="-0.24328779292924874"/>
    <n v="-6.2116470841602545E-2"/>
    <n v="70.361157528051649"/>
    <n v="0.15930307648702005"/>
    <n v="0.70409718967478441"/>
    <n v="1019.1512083928836"/>
    <n v="2.3553444273546886"/>
    <n v="350.46353503799997"/>
    <n v="46.544467177962311"/>
    <n v="787.93605666233918"/>
    <n v="51.064873304999999"/>
    <n v="6.7818391412209742"/>
    <n v="179.33133622700012"/>
    <n v="23.816690350089338"/>
    <n v="4475.5769106759999"/>
    <n v="1.3457532520512734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721530648526442E-2"/>
    <n v="-3.2459755295355688"/>
    <n v="244.61446507499971"/>
    <n v="-4400.3196603320011"/>
    <n v="7.3552687942467262E-2"/>
    <n v="-1.4444952491780583"/>
    <n v="1650.988378279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2570.39534209348"/>
    <n v="7554.6780434782604"/>
    <n v="4743.8921766940002"/>
    <n v="1.426432491627605"/>
    <n v="30275.474665933998"/>
    <n v="48989.357057457004"/>
    <n v="15.080541975074526"/>
    <n v="0.20006780848579853"/>
    <n v="0.15718364866281065"/>
    <n v="0.15485724534098932"/>
    <n v="3659.0060726440001"/>
    <n v="1.1002200207508606"/>
    <n v="22718.077809864"/>
    <n v="36076.656105713002"/>
    <n v="0.23523172212903787"/>
    <n v="0.23528140887115367"/>
    <n v="0.18048381649462963"/>
    <n v="2227.634626991"/>
    <n v="21816.626734704001"/>
    <n v="0.18935833654942957"/>
    <n v="0.20074638971544956"/>
    <n v="1393.8137800120001"/>
    <n v="14225.493627598999"/>
    <n v="0.16197169248468724"/>
    <n v="0.24914749454572283"/>
    <n v="929.73680750200003"/>
    <n v="781.40767091300006"/>
    <n v="0.15418610543482814"/>
    <n v="0.21790375352198588"/>
    <n v="290.76578039700001"/>
    <n v="8.7429844769528642E-2"/>
    <n v="227.37097505699998"/>
    <n v="6.8367773632742712E-2"/>
    <n v="566.74934859599989"/>
    <n v="75.01965607723794"/>
    <n v="385.85794076000002"/>
    <n v="51.075365295427815"/>
    <n v="292.26588561092353"/>
    <n v="0"/>
    <n v="0"/>
    <n v="112.0703124360611"/>
    <n v="180.89140783599987"/>
    <n v="385.85794076000002"/>
    <n v="4471.1842986419997"/>
    <n v="1.3444324453602625"/>
    <n v="28572.301394918002"/>
    <n v="51816.321462114007"/>
    <n v="16.015307347060386"/>
    <n v="3963.3966798389997"/>
    <n v="1.1917466904298899"/>
    <n v="48532.058119517002"/>
    <n v="14.999547746946963"/>
    <n v="3723.3115539649998"/>
    <n v="1.1195559214268223"/>
    <n v="42596.906938884"/>
    <n v="13.164509257115663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79663473714631"/>
    <n v="7.2190769003067784E-2"/>
    <n v="5935.151180633"/>
    <n v="870.29515321299994"/>
    <n v="749.37541258599992"/>
    <n v="180.28372089200002"/>
    <n v="272.70787805200052"/>
    <n v="1703.1732710160018"/>
    <n v="-2826.9644046569988"/>
    <n v="-0.30946070891093225"/>
    <n v="-51.876026469380911"/>
    <n v="0.1807244959222829"/>
    <n v="36.097882197299135"/>
    <n v="8.2000046267342488E-2"/>
    <n v="-393.58459314631392"/>
    <n v="-0.93476537198585774"/>
    <n v="512.79300392600055"/>
    <n v="0.15419081527041029"/>
    <n v="715.2767886649998"/>
    <n v="3056.8955959590003"/>
    <n v="7623.9870538190007"/>
    <n v="0.18643330217444332"/>
    <n v="-0.17321852001962079"/>
    <n v="-4.7613369123333138E-2"/>
    <n v="94.679982991793807"/>
    <n v="0.21507530396060698"/>
    <n v="0.91917249363539144"/>
    <n v="1030.934644817087"/>
    <n v="2.3778647443964349"/>
    <n v="526.55764160399997"/>
    <n v="69.699547561601563"/>
    <n v="803.8561368058663"/>
    <n v="0"/>
    <n v="0"/>
    <n v="188.71914706099983"/>
    <n v="24.980435430192252"/>
    <n v="5186.4610873069996"/>
    <n v="1.5595077493208693"/>
    <n v="-442.56891061299928"/>
    <n v="-1353.7223249429985"/>
    <n v="-10450.951458476"/>
    <n v="-58.582100794494679"/>
    <n v="-1424.5192379634011"/>
    <n v="1.1281469454637234"/>
    <n v="-0.63715162774999001"/>
    <n v="4.9570415658439781E-3"/>
    <n v="-0.13307525769326445"/>
    <n v="-3.3126301163822931"/>
    <n v="-202.48378473899928"/>
    <n v="-4515.800277843"/>
    <n v="-6.0884488690196678E-2"/>
    <n v="-1.4775916265509883"/>
    <n v="1669.3053288650001"/>
    <n v="1823.7278207029999"/>
    <n v="133.5"/>
    <n v="3553.477285913109"/>
    <n v="37316.520700365683"/>
    <n v="0.11283597568952852"/>
    <n v="2740.8285188344571"/>
    <n v="27473.096086473241"/>
    <n v="0.1374329451469456"/>
    <n v="3349.2017218292135"/>
    <n v="39542.586926660515"/>
    <n v="0.11546886343838492"/>
    <n v="535.78785667790248"/>
    <n v="5826.5274735544754"/>
    <n v="-8.1968614416731866E-2"/>
  </r>
  <r>
    <x v="259"/>
    <x v="7"/>
    <x v="7"/>
    <x v="21"/>
    <n v="332570.39534209348"/>
    <n v="7594.0761904761894"/>
    <n v="3531.4488884879997"/>
    <n v="1.061865078175533"/>
    <n v="33806.923554421999"/>
    <n v="49164.831673819994"/>
    <n v="15.070535883235003"/>
    <n v="0.1827173369988111"/>
    <n v="5.228723528082635E-2"/>
    <n v="0.14989353376665027"/>
    <n v="2638.0364757970001"/>
    <n v="0.7932264906151445"/>
    <n v="25356.114285661002"/>
    <n v="36273.302938075001"/>
    <n v="8.0547090420733047E-2"/>
    <n v="0.21714779514255245"/>
    <n v="0.17650225493794114"/>
    <n v="1382.6178575890001"/>
    <n v="21939.252275188002"/>
    <n v="0.18335938930786289"/>
    <n v="9.7322450954104633E-2"/>
    <n v="1257.561771999"/>
    <n v="14318.250371340002"/>
    <n v="0.16568773211566179"/>
    <n v="7.9632849696503083E-2"/>
    <n v="923.93191281500003"/>
    <n v="716.7584203859999"/>
    <n v="0.11248765898401447"/>
    <n v="5.9124931075570153E-2"/>
    <n v="261.51274837"/>
    <n v="7.8633802657328805E-2"/>
    <n v="144.35493190900002"/>
    <n v="4.3405827437078846E-2"/>
    <n v="487.54473241199997"/>
    <n v="64.200663804694898"/>
    <n v="310.610078552"/>
    <n v="40.901627895377104"/>
    <n v="333.16751350630062"/>
    <n v="0"/>
    <n v="0"/>
    <n v="112.0703124360611"/>
    <n v="176.93465385999997"/>
    <n v="310.610078552"/>
    <n v="4343.7660407499998"/>
    <n v="1.3061192762758846"/>
    <n v="32916.067435668003"/>
    <n v="52660.419908533004"/>
    <n v="16.203660962807504"/>
    <n v="4135.286141732"/>
    <n v="1.2434318266598265"/>
    <n v="49357.344013875998"/>
    <n v="15.185792137048967"/>
    <n v="3455.4918034880002"/>
    <n v="1.0390256775361983"/>
    <n v="43024.734656330009"/>
    <n v="13.236523395477127"/>
    <n v="0.24119389161025695"/>
    <n v="0.1444576209953885"/>
    <n v="0.1666865368097834"/>
    <n v="1707.8203446860005"/>
    <n v="13410.594284340001"/>
    <n v="21444.322641524002"/>
    <n v="6.7140366097350412E-2"/>
    <n v="7.3718561218796719E-2"/>
    <n v="7.7453242267319977E-2"/>
    <n v="1216.7839905369999"/>
    <n v="491.03635414900054"/>
    <n v="557.12618810099991"/>
    <n v="679.79433824400007"/>
    <n v="89.516396885316652"/>
    <n v="0.20440614912362837"/>
    <n v="6332.609357546"/>
    <n v="469.895018376"/>
    <n v="743.09611486999995"/>
    <n v="186.03403647300001"/>
    <n v="-812.31715226200004"/>
    <n v="890.85611875400173"/>
    <n v="-3495.5882347129982"/>
    <n v="4.6531308469398045"/>
    <n v="-6.0282488078521554"/>
    <n v="0.46827299213363527"/>
    <n v="-106.96721126932272"/>
    <n v="-0.24425419810035176"/>
    <n v="-480.79520184342789"/>
    <n v="-1.1331250795724994"/>
    <n v="-132.52281401799996"/>
    <n v="-3.9848048976723373E-2"/>
    <n v="645.81966667200004"/>
    <n v="3702.7152626310003"/>
    <n v="7920.2509907469994"/>
    <n v="0.84754421603951746"/>
    <n v="-8.5048938013704056E-2"/>
    <n v="2.4062826769422285E-2"/>
    <n v="85.042558235316278"/>
    <n v="0.19419036562400194"/>
    <n v="1.1133628592593934"/>
    <n v="1067.9162805031281"/>
    <n v="2.4604098235418483"/>
    <n v="477.24601732299999"/>
    <n v="62.844512663899692"/>
    <n v="838.979146515303"/>
    <n v="127.07217031499999"/>
    <n v="16.733064974297012"/>
    <n v="168.57364934900005"/>
    <n v="22.198045571416575"/>
    <n v="4989.5857074220003"/>
    <n v="1.5003096418998867"/>
    <n v="-1458.1368189340001"/>
    <n v="-2811.8591438769986"/>
    <n v="-11415.83922546"/>
    <n v="-192.009769504639"/>
    <n v="-1548.7114823465563"/>
    <n v="1.9561877780999946"/>
    <n v="-0.33432468849233177"/>
    <n v="0.12861682040078559"/>
    <n v="-0.43844456372435375"/>
    <n v="-3.5935349031143482"/>
    <n v="-778.34248069"/>
    <n v="-5083.2298679139985"/>
    <n v="-0.23403841460072533"/>
    <n v="-1.6442661615425003"/>
    <n v="1668.955680192"/>
    <n v="1821.55952041"/>
    <n v="133.19999999999999"/>
    <n v="2651.2379042702705"/>
    <n v="37339.744296002435"/>
    <n v="0.10711408562546598"/>
    <n v="1980.5078647124628"/>
    <n v="27541.78747237991"/>
    <n v="0.13265351893851096"/>
    <n v="3261.0856161786787"/>
    <n v="40063.134097787508"/>
    <n v="0.12443947493605201"/>
    <n v="484.84959960360368"/>
    <n v="6037.6450999834515"/>
    <n v="-1.3530097941865882E-2"/>
  </r>
  <r>
    <x v="260"/>
    <x v="8"/>
    <x v="8"/>
    <x v="21"/>
    <n v="332570.39534209348"/>
    <n v="7764.5704999999998"/>
    <n v="4431.2008943210003"/>
    <n v="1.3324099067094992"/>
    <n v="38238.124448743001"/>
    <n v="49672.122117768005"/>
    <n v="15.149680375960138"/>
    <n v="0.17626735895367429"/>
    <n v="0.1292818606244639"/>
    <n v="0.15954036892751056"/>
    <n v="3463.2350112230001"/>
    <n v="1.0413539688824665"/>
    <n v="28819.349296884004"/>
    <n v="36739.870202779995"/>
    <n v="0.1556953603705753"/>
    <n v="0.20941973367392674"/>
    <n v="0.18816143946353447"/>
    <n v="2217.0427219539997"/>
    <n v="22239.978010931001"/>
    <n v="0.19161374139879661"/>
    <n v="0.15692901430551087"/>
    <n v="1268.9380640850002"/>
    <n v="14446.838614917002"/>
    <n v="0.17296668689808992"/>
    <n v="0.11276210270258713"/>
    <n v="960.38545763900004"/>
    <n v="679.40700596600004"/>
    <n v="0.10663240491112491"/>
    <n v="0.10577069410089179"/>
    <n v="261.46539940299999"/>
    <n v="7.8619565380751225E-2"/>
    <n v="133.323971091"/>
    <n v="4.00889474704621E-2"/>
    <n v="573.1765126040001"/>
    <n v="73.819474316576816"/>
    <n v="373.13331045500001"/>
    <n v="48.055885442085952"/>
    <n v="381.2233989483866"/>
    <n v="0"/>
    <n v="0"/>
    <n v="112.0703124360611"/>
    <n v="200.04320214900008"/>
    <n v="373.13331045500001"/>
    <n v="4538.1459755509995"/>
    <n v="1.3645670327579533"/>
    <n v="37454.213411219003"/>
    <n v="53045.797866221008"/>
    <n v="16.241867316617402"/>
    <n v="4267.5260761419995"/>
    <n v="1.2831948170709162"/>
    <n v="49709.526889630004"/>
    <n v="15.218457850822256"/>
    <n v="3292.2966436869992"/>
    <n v="0.98995481552121567"/>
    <n v="43313.737746054001"/>
    <n v="13.267250423609303"/>
    <n v="9.2800261423298558E-2"/>
    <n v="0.13794000812342722"/>
    <n v="0.16302942013598698"/>
    <n v="1685.2923286169996"/>
    <n v="15095.886612957"/>
    <n v="21526.417680698003"/>
    <n v="5.1207072089375805E-2"/>
    <n v="7.1157700353175368E-2"/>
    <n v="7.2636283801993606E-2"/>
    <n v="1203.8930278749999"/>
    <n v="481.3993007419997"/>
    <n v="451.16078686299994"/>
    <n v="975.22943245500005"/>
    <n v="125.59991984811008"/>
    <n v="0.29324000154970054"/>
    <n v="6395.7891435760002"/>
    <n v="518.09065131800003"/>
    <n v="764.41963660299996"/>
    <n v="143.953139695"/>
    <n v="-106.94508122999923"/>
    <n v="783.9110375240025"/>
    <n v="-3373.6757484529981"/>
    <n v="-0.53270026242556945"/>
    <n v="-2.9306830614101917"/>
    <n v="0.21694337836564848"/>
    <n v="-13.773470307211355"/>
    <n v="-3.2157126048454131E-2"/>
    <n v="-463.11513668571752"/>
    <n v="-1.0921869406572631"/>
    <n v="868.28435122500082"/>
    <n v="0.26108287550124637"/>
    <n v="538.2603576869999"/>
    <n v="4240.9756203180004"/>
    <n v="8193.9777676760004"/>
    <n v="1.0347524731818831"/>
    <n v="-1.6342071545816794E-2"/>
    <n v="0.11548726609281079"/>
    <n v="69.322618383978863"/>
    <n v="0.16184854852559158"/>
    <n v="1.275211407784985"/>
    <n v="1100.8821532689044"/>
    <n v="2.5377684756249947"/>
    <n v="384.97324464299999"/>
    <n v="49.580752038119819"/>
    <n v="864.88886369327599"/>
    <n v="0"/>
    <n v="0"/>
    <n v="153.28711304399991"/>
    <n v="19.741866345859041"/>
    <n v="5076.4063332379992"/>
    <n v="1.5264155812835447"/>
    <n v="-645.20543891699913"/>
    <n v="-3457.0645827939979"/>
    <n v="-11567.653516128996"/>
    <n v="-83.096088691190218"/>
    <n v="-1563.9972899546221"/>
    <n v="0.30769561068957696"/>
    <n v="-0.26717689022736812"/>
    <n v="0.14328572321139998"/>
    <n v="-0.19400567457404569"/>
    <n v="-3.6299554162822583"/>
    <n v="330.02399353800092"/>
    <n v="-5171.8643725529982"/>
    <n v="9.9234326975654819E-2"/>
    <n v="-1.6787479890692996"/>
    <n v="1644.8488411559999"/>
    <n v="1796.2610119230001"/>
    <n v="133.5"/>
    <n v="3319.2516062329587"/>
    <n v="37600.608957283723"/>
    <n v="0.11617584202672382"/>
    <n v="2594.1835290059926"/>
    <n v="27800.298556710924"/>
    <n v="0.14367532650745196"/>
    <n v="3399.3602813116099"/>
    <n v="40225.730530414003"/>
    <n v="0.12052920531074496"/>
    <n v="403.19127916629202"/>
    <n v="6234.6527620351681"/>
    <n v="7.4939809344896302E-2"/>
  </r>
  <r>
    <x v="261"/>
    <x v="9"/>
    <x v="9"/>
    <x v="21"/>
    <n v="332570.39534209348"/>
    <n v="7866.6784782608702"/>
    <n v="3981.7974857539998"/>
    <n v="1.1972795959959648"/>
    <n v="42219.921934497004"/>
    <n v="50210.730293241999"/>
    <n v="15.247233020755061"/>
    <n v="0.17436718064750467"/>
    <n v="0.15642711652999419"/>
    <n v="0.16190534453944871"/>
    <n v="2938.4754179310003"/>
    <n v="0.8835649411633234"/>
    <n v="31757.824714815004"/>
    <n v="37241.652139101992"/>
    <n v="0.20592739304685259"/>
    <n v="0.20909574677880771"/>
    <n v="0.19087632609043759"/>
    <m/>
    <n v="21025.036792303999"/>
    <n v="0.11987171481547021"/>
    <n v="-1"/>
    <m/>
    <n v="13270.355784980002"/>
    <n v="5.930242439168687E-2"/>
    <n v="-1"/>
    <m/>
    <m/>
    <n v="-1"/>
    <n v="-1"/>
    <n v="278.58991820699998"/>
    <n v="8.3768706447978541E-2"/>
    <n v="136.672912569"/>
    <n v="4.1095934720351002E-2"/>
    <n v="628.05923704700001"/>
    <n v="79.837918733123118"/>
    <n v="324.31224733300002"/>
    <n v="41.226071235683385"/>
    <n v="422.44947018406998"/>
    <n v="37.391065883000003"/>
    <n v="4.7530944586496249"/>
    <n v="116.82340689471073"/>
    <n v="266.35592383099998"/>
    <n v="361.70331321600003"/>
    <n v="4308.2376978459997"/>
    <n v="1.2954363221099088"/>
    <n v="41762.451109065005"/>
    <n v="53576.674551638003"/>
    <n v="16.330844935634271"/>
    <n v="4021.93689447"/>
    <n v="1.2093490433304792"/>
    <n v="50203.396814249005"/>
    <n v="15.300970701671694"/>
    <n v="3511.0749840999997"/>
    <n v="1.0557388851429141"/>
    <n v="43783.092462203"/>
    <n v="13.351488338215065"/>
    <n v="0.1405416860263573"/>
    <n v="0.13820784946888631"/>
    <n v="0.16751414809903498"/>
    <n v="1765.5595074979999"/>
    <n v="16861.446120454999"/>
    <n v="21671.234802763003"/>
    <n v="8.9352338389244057E-2"/>
    <n v="7.3034319761307032E-2"/>
    <n v="7.5690954584190617E-2"/>
    <n v="1253.0242610350001"/>
    <n v="512.53524646299979"/>
    <n v="513.89825842400001"/>
    <n v="510.86191037000003"/>
    <n v="64.939975846443787"/>
    <n v="0.15361015818756499"/>
    <n v="6420.3043520459996"/>
    <n v="502.85846869099998"/>
    <n v="798.26868409099995"/>
    <n v="216.79086877200001"/>
    <n v="-326.44021209199991"/>
    <n v="457.47082543200258"/>
    <n v="-3365.9442583959976"/>
    <n v="-2.3136279964103945E-2"/>
    <n v="-1.6180371788772834"/>
    <n v="0.2581098651203817"/>
    <n v="-41.496574824317442"/>
    <n v="-9.8156726113944132E-2"/>
    <n v="-459.36068521543223"/>
    <n v="-1.0836119148792098"/>
    <n v="184.42169827800012"/>
    <n v="5.5453432073620849E-2"/>
    <n v="588.54177369600006"/>
    <n v="4829.5173940140003"/>
    <n v="8124.4085024489996"/>
    <n v="-0.10571052772621803"/>
    <n v="-2.8177033198065304E-2"/>
    <n v="0.16941451014367881"/>
    <n v="74.814519917447072"/>
    <n v="0.1769675779741626"/>
    <n v="1.4521789857591476"/>
    <n v="1086.5802107942291"/>
    <n v="2.5045406849548217"/>
    <n v="384.405889468"/>
    <n v="48.865082071205066"/>
    <n v="844.89133805294216"/>
    <n v="0"/>
    <n v="0"/>
    <n v="204.13588422800007"/>
    <n v="25.949437846242002"/>
    <n v="4896.7794715419996"/>
    <n v="1.4724039000840714"/>
    <n v="-914.98198578799997"/>
    <n v="-4372.0465685819981"/>
    <n v="-11490.352760844997"/>
    <n v="-116.31109474176451"/>
    <n v="-1545.9408960096612"/>
    <n v="-7.7901944762729047E-2"/>
    <n v="-0.23428325019363239"/>
    <n v="0.19407417510351266"/>
    <n v="-0.27512430408810673"/>
    <n v="-3.5881525998340322"/>
    <n v="-404.12007541799994"/>
    <n v="-5070.048408798998"/>
    <n v="-0.12151414590054173"/>
    <n v="-1.6386702363773968"/>
    <n v="1725.048890219"/>
    <n v="1875.312602322"/>
    <n v="133.5"/>
    <n v="2982.6198395161045"/>
    <n v="37912.019091384776"/>
    <n v="0.11851727260260714"/>
    <n v="2201.1051819707868"/>
    <n v="28111.028655974962"/>
    <n v="0.14631899187453357"/>
    <n v="3227.1443429558049"/>
    <n v="40522.416368770115"/>
    <n v="0.12500375317480139"/>
    <n v="440.85526119550565"/>
    <n v="6164.9486447023564"/>
    <n v="0.128679077021552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9" baseField="3" baseItem="15" numFmtId="168"/>
    <dataField name="RON (% del PIB) " fld="86" baseField="3" baseItem="16" numFmtId="168"/>
  </dataFields>
  <formats count="1">
    <format dxfId="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93" firstHeaderRow="0" firstDataRow="1" firstDataCol="2" rowPageCount="1" colPageCount="1"/>
  <pivotFields count="147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7" baseField="1" baseItem="6" numFmtId="168"/>
    <dataField name="Resultado Fiscal anualizado (millones de US$) " fld="115" baseField="1" baseItem="5" numFmtId="168"/>
  </dataFields>
  <formats count="3"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42" firstHeaderRow="1" firstDataRow="1" firstDataCol="3"/>
  <pivotFields count="147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40">
    <i>
      <x v="18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4" baseField="3" baseItem="15" numFmtId="168"/>
    <dataField name="Contribuciones Sociales " fld="33" baseField="3" baseItem="16" numFmtId="168"/>
    <dataField name="Donaciones " fld="35" baseField="3" baseItem="17" numFmtId="168"/>
    <dataField name="Otros Ingresos " fld="3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4" baseField="3" baseItem="15" numFmtId="168"/>
    <dataField name="RON (millones de US$) " fld="8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93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8" baseField="1" baseItem="3" numFmtId="168"/>
    <dataField name="Inversión anualizada (% PIB) " fld="101" baseField="1" baseItem="3" numFmtId="168"/>
    <dataField name="Resultado anualizado (% PIB) " fld="120" baseField="1" baseItem="3" numFmtId="168"/>
  </dataFields>
  <formats count="1">
    <format dxfId="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D179" firstHeaderRow="0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MOPC suma 12 meses (mm US$) " fld="104" baseField="137" baseItem="19" numFmtId="168"/>
    <dataField name="ANANF anualizado (m_US$) " fld="100" baseField="1" baseItem="3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79" firstHeaderRow="1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3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94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6" baseField="1" baseItem="0" numFmtId="168"/>
    <dataField name="ANANF (% del PIB) " fld="98" baseField="1" baseItem="0" numFmtId="168"/>
    <dataField name="Resultado Fiscal (% del PIB) " fld="119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7" baseField="3" baseItem="15" numFmtId="168"/>
    <dataField name="Remun. " fld="63" baseField="3" baseItem="17" numFmtId="168"/>
    <dataField name="Uso de ByS " fld="71" baseField="3" baseItem="17" numFmtId="168"/>
    <dataField name="Intereses " fld="72" baseField="3" baseItem="15" numFmtId="168"/>
    <dataField name="Donaciones " fld="76" baseField="3" baseItem="17" numFmtId="168"/>
    <dataField name="P. Sociales " fld="77" baseField="3" baseItem="17" numFmtId="168"/>
    <dataField name="Otros Gastos " fld="78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91" baseField="3" baseItem="15" numFmtId="168"/>
    <dataField name="Inversión (USD) " fld="97" baseField="3" baseItem="15" numFmtId="3"/>
    <dataField name="Inversión_x000a_(% del PIB) " fld="98" baseField="3" baseItem="15" numFmtId="168"/>
    <dataField name="MOPC (USD) " fld="103" baseField="3" baseItem="15" numFmtId="3"/>
    <dataField name="Otras Ent. (USD) " fld="108" baseField="3" baseItem="15" numFmtId="3"/>
  </dataFields>
  <formats count="4">
    <format dxfId="1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">
      <pivotArea outline="0" fieldPosition="0">
        <references count="1">
          <reference field="4294967294" count="1">
            <x v="3"/>
          </reference>
        </references>
      </pivotArea>
    </format>
    <format dxfId="9">
      <pivotArea outline="0" fieldPosition="0">
        <references count="1">
          <reference field="4294967294" count="1">
            <x v="4"/>
          </reference>
        </references>
      </pivotArea>
    </format>
    <format dxfId="8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 s="1"/>
        <i x="9" s="1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  <i x="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FA6C7448-B623-4787-A163-C8C6080252F8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9"/>
  <sheetViews>
    <sheetView showGridLines="0" showRowColHeaders="0" tabSelected="1" zoomScale="85" zoomScaleNormal="85" workbookViewId="0">
      <selection activeCell="M6" sqref="M6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31" t="s">
        <v>188</v>
      </c>
      <c r="C6" s="231"/>
      <c r="D6" s="231"/>
      <c r="E6" s="231"/>
      <c r="F6" s="231"/>
      <c r="G6" s="231"/>
      <c r="H6" s="231"/>
      <c r="I6" s="231"/>
      <c r="J6" s="231"/>
    </row>
    <row r="7" spans="2:12" x14ac:dyDescent="0.2">
      <c r="B7" s="232" t="str">
        <f>Aux!$V$5</f>
        <v>Octubre 2024</v>
      </c>
      <c r="C7" s="232"/>
      <c r="D7" s="232"/>
      <c r="E7" s="232"/>
      <c r="F7" s="232"/>
      <c r="G7" s="232"/>
      <c r="H7" s="232"/>
      <c r="I7" s="232"/>
      <c r="J7" s="232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230" t="str">
        <f>Aux!W6</f>
        <v>ene-oct 2023</v>
      </c>
      <c r="H10" s="230" t="str">
        <f>Aux!W5</f>
        <v>ene-oct 2024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35951.210686268008</v>
      </c>
      <c r="H11" s="77">
        <f>'CA Informe'!T13</f>
        <v>42219.921934496997</v>
      </c>
      <c r="I11" s="78">
        <f>+H11/G11-1</f>
        <v>0.17436718064750445</v>
      </c>
    </row>
    <row r="12" spans="2:12" x14ac:dyDescent="0.2">
      <c r="F12" s="79" t="str">
        <f>+'1'!A12</f>
        <v xml:space="preserve">Ingresos Tributarios </v>
      </c>
      <c r="G12" s="80">
        <f>'CA Informe'!U14</f>
        <v>26265.764973057005</v>
      </c>
      <c r="H12" s="80">
        <f>'CA Informe'!T14</f>
        <v>31757.824714815</v>
      </c>
      <c r="I12" s="81">
        <f>+H12/G12-1</f>
        <v>0.20909574677880727</v>
      </c>
    </row>
    <row r="13" spans="2:12" x14ac:dyDescent="0.2">
      <c r="F13" s="79" t="str">
        <f>+'1'!A14</f>
        <v>Contribuciones sociales</v>
      </c>
      <c r="G13" s="80">
        <f>'CA Informe'!U17</f>
        <v>3141.151965479</v>
      </c>
      <c r="H13" s="80">
        <f>'CA Informe'!T17</f>
        <v>2701.7181166680002</v>
      </c>
      <c r="I13" s="81">
        <f>+H13/G13-1</f>
        <v>-0.13989576233189016</v>
      </c>
    </row>
    <row r="14" spans="2:12" x14ac:dyDescent="0.2">
      <c r="F14" s="82" t="str">
        <f>+'1'!A16</f>
        <v>Donaciones</v>
      </c>
      <c r="G14" s="83">
        <f>'CA Informe'!U18</f>
        <v>1269.848324431</v>
      </c>
      <c r="H14" s="83">
        <f>'CA Informe'!T18</f>
        <v>1491.8566782520002</v>
      </c>
      <c r="I14" s="84">
        <f>+H14/G14-1</f>
        <v>0.17483060736444944</v>
      </c>
    </row>
    <row r="15" spans="2:12" x14ac:dyDescent="0.2">
      <c r="F15" s="85" t="str">
        <f>+'1'!A26</f>
        <v>Otros ingresos</v>
      </c>
      <c r="G15" s="86">
        <f>'CA Informe'!U19</f>
        <v>5274.445423301001</v>
      </c>
      <c r="H15" s="221">
        <f>'CA Informe'!T19</f>
        <v>6268.5224247620008</v>
      </c>
      <c r="I15" s="87">
        <f>+H15/G15-1</f>
        <v>0.18847043085694848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230" t="str">
        <f>Aux!W6</f>
        <v>ene-oct 2023</v>
      </c>
      <c r="D31" s="230" t="str">
        <f>Aux!W5</f>
        <v>ene-oct 2024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36691.410209965004</v>
      </c>
      <c r="D32" s="90">
        <f>'CA Informe'!T20</f>
        <v>41762.451109064998</v>
      </c>
      <c r="E32" s="91">
        <f>+D32/C32-1</f>
        <v>0.13820784946888609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15713.799465618002</v>
      </c>
      <c r="D33" s="94">
        <f>'CA Informe'!T21</f>
        <v>16861.446120455003</v>
      </c>
      <c r="E33" s="95">
        <f t="shared" ref="E33:E38" si="0">+D33/C33-1</f>
        <v>7.3034319761307032E-2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3996.2142258019999</v>
      </c>
      <c r="D34" s="83">
        <f>'CA Informe'!T22</f>
        <v>5542.5519850599985</v>
      </c>
      <c r="E34" s="84">
        <f t="shared" si="0"/>
        <v>0.38695066677704548</v>
      </c>
      <c r="F34" s="84"/>
    </row>
    <row r="35" spans="2:15" x14ac:dyDescent="0.2">
      <c r="B35" s="83" t="str">
        <f>+'1'!A42</f>
        <v>Intereses</v>
      </c>
      <c r="C35" s="83">
        <f>'CA Informe'!U23</f>
        <v>4202.9338944379997</v>
      </c>
      <c r="D35" s="83">
        <f>'CA Informe'!T23</f>
        <v>5405.9356512509994</v>
      </c>
      <c r="E35" s="84">
        <f t="shared" si="0"/>
        <v>0.28622904547820882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4102.7912753170003</v>
      </c>
      <c r="D36" s="83">
        <f>'CA Informe'!T24</f>
        <v>4825.4764732869999</v>
      </c>
      <c r="E36" s="84">
        <f t="shared" si="0"/>
        <v>0.17614476327805928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7267.0079988930001</v>
      </c>
      <c r="D37" s="83">
        <f>'CA Informe'!T25</f>
        <v>7483.5057972170007</v>
      </c>
      <c r="E37" s="84">
        <f t="shared" si="0"/>
        <v>2.979187560506058E-2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1408.6633498970002</v>
      </c>
      <c r="D38" s="96">
        <f>'CA Informe'!T26</f>
        <v>1643.5350817950002</v>
      </c>
      <c r="E38" s="97">
        <f t="shared" si="0"/>
        <v>0.16673375644732547</v>
      </c>
      <c r="F38" s="84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  <c r="N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  <c r="N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3.570312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5" t="s">
        <v>137</v>
      </c>
      <c r="B2" s="235"/>
      <c r="C2" s="235"/>
      <c r="D2" s="235"/>
      <c r="E2" s="235"/>
      <c r="F2" s="235"/>
      <c r="G2" s="235"/>
      <c r="H2" s="235"/>
      <c r="I2" s="102"/>
    </row>
    <row r="3" spans="1:248" ht="15.75" x14ac:dyDescent="0.25">
      <c r="A3" s="236" t="s">
        <v>138</v>
      </c>
      <c r="B3" s="236"/>
      <c r="C3" s="236"/>
      <c r="D3" s="236"/>
      <c r="E3" s="236"/>
      <c r="F3" s="236"/>
      <c r="G3" s="236"/>
      <c r="H3" s="236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5" t="s">
        <v>139</v>
      </c>
      <c r="B5" s="235"/>
      <c r="C5" s="235"/>
      <c r="D5" s="235"/>
      <c r="E5" s="235"/>
      <c r="F5" s="235"/>
      <c r="G5" s="235"/>
      <c r="H5" s="235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5" t="s">
        <v>140</v>
      </c>
      <c r="B6" s="235"/>
      <c r="C6" s="235"/>
      <c r="D6" s="235"/>
      <c r="E6" s="235"/>
      <c r="F6" s="235"/>
      <c r="G6" s="235"/>
      <c r="H6" s="235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7" t="s">
        <v>141</v>
      </c>
      <c r="B8" s="233" t="s">
        <v>189</v>
      </c>
      <c r="C8" s="233" t="s">
        <v>214</v>
      </c>
      <c r="D8" s="233" t="s">
        <v>142</v>
      </c>
      <c r="E8" s="239" t="s">
        <v>206</v>
      </c>
      <c r="F8" s="239" t="s">
        <v>215</v>
      </c>
      <c r="G8" s="233" t="s">
        <v>142</v>
      </c>
      <c r="H8" s="233" t="s">
        <v>143</v>
      </c>
      <c r="I8" s="111"/>
    </row>
    <row r="9" spans="1:248" s="3" customFormat="1" ht="23.25" customHeight="1" thickBot="1" x14ac:dyDescent="0.25">
      <c r="A9" s="238"/>
      <c r="B9" s="234"/>
      <c r="C9" s="234"/>
      <c r="D9" s="234"/>
      <c r="E9" s="240"/>
      <c r="F9" s="240"/>
      <c r="G9" s="234"/>
      <c r="H9" s="234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mensual'!IH2:IQ2))</f>
        <v>35951.210686268008</v>
      </c>
      <c r="D10" s="113">
        <f>IFERROR((C10/B10*100),0)</f>
        <v>73.243977300271624</v>
      </c>
      <c r="E10" s="113">
        <v>54619.613734399012</v>
      </c>
      <c r="F10" s="113">
        <f>IF($A10="","",'2'!N10)</f>
        <v>42219.921934497004</v>
      </c>
      <c r="G10" s="113">
        <f>IFERROR((F10/E10*100),0)</f>
        <v>77.298096870112474</v>
      </c>
      <c r="H10" s="113">
        <f>IF(C10&lt;&gt;0,F10/C10*100-100," ")</f>
        <v>17.436718064750465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mensual'!IH4:IQ4))</f>
        <v>26265.764973057001</v>
      </c>
      <c r="D12" s="115">
        <f>IFERROR((C12/B12*100),0)</f>
        <v>81.124884709638735</v>
      </c>
      <c r="E12" s="115">
        <v>34465.214691477006</v>
      </c>
      <c r="F12" s="115">
        <f>IF($A12="","",'2'!N12)</f>
        <v>31757.824714815004</v>
      </c>
      <c r="G12" s="115">
        <f>IFERROR((F12/E12*100),0)</f>
        <v>92.144572430789125</v>
      </c>
      <c r="H12" s="115">
        <f>IF(C12&lt;&gt;0,F12/C12*100-100," ")</f>
        <v>20.909574677880769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02"/>
      <c r="F13" s="202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mensual'!IH13:IQ13))</f>
        <v>3141.151965479</v>
      </c>
      <c r="D14" s="115">
        <f>IFERROR((C14/B14*100),0)</f>
        <v>85.398802049719251</v>
      </c>
      <c r="E14" s="203">
        <v>4695.9439962030001</v>
      </c>
      <c r="F14" s="203">
        <f>IF($A14="","",'2'!N14)</f>
        <v>2701.7181166680002</v>
      </c>
      <c r="G14" s="115">
        <f>IFERROR((F14/E14*100),0)</f>
        <v>57.533013997878356</v>
      </c>
      <c r="H14" s="115">
        <f>IF(C14&lt;&gt;0,F14/C14*100-100," ")</f>
        <v>-13.989576233189013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mensual'!IH14:IQ14))</f>
        <v/>
      </c>
      <c r="D15" s="117"/>
      <c r="E15" s="202"/>
      <c r="F15" s="202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mensual'!IH15:IQ15))</f>
        <v>1269.848324431</v>
      </c>
      <c r="D16" s="115">
        <f t="shared" ref="D16:D33" si="0">IFERROR((C16/B16*100),0)</f>
        <v>51.553089922776465</v>
      </c>
      <c r="E16" s="203">
        <v>2273.6202976920003</v>
      </c>
      <c r="F16" s="203">
        <f>IF($A16="","",'2'!N16)</f>
        <v>1491.8566782519997</v>
      </c>
      <c r="G16" s="115">
        <f t="shared" ref="G16:G33" si="1">IFERROR((F16/E16*100),0)</f>
        <v>65.615911318456071</v>
      </c>
      <c r="H16" s="115">
        <f t="shared" ref="H16:H33" si="2">IF(C16&lt;&gt;0,F16/C16*100-100," ")</f>
        <v>17.483060736444898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mensual'!IH16:IQ16))</f>
        <v>83.084563154999998</v>
      </c>
      <c r="D17" s="117">
        <f t="shared" si="0"/>
        <v>9.2160579314102087</v>
      </c>
      <c r="E17" s="202">
        <v>588.42610655200008</v>
      </c>
      <c r="F17" s="202">
        <f>IF($A17="","",'2'!N17)</f>
        <v>62.204405895999997</v>
      </c>
      <c r="G17" s="117">
        <f t="shared" si="1"/>
        <v>10.57131986554762</v>
      </c>
      <c r="H17" s="117">
        <f t="shared" si="2"/>
        <v>-25.131211462286473</v>
      </c>
      <c r="I17" s="114"/>
    </row>
    <row r="18" spans="1:11" s="118" customFormat="1" ht="12.75" customHeight="1" x14ac:dyDescent="0.2">
      <c r="A18" s="170" t="s">
        <v>181</v>
      </c>
      <c r="B18" s="117">
        <v>140.42475430799999</v>
      </c>
      <c r="C18" s="117">
        <f>IF($A18="","",SUM('Situfin serie mensual'!IH17:IQ17))</f>
        <v>0</v>
      </c>
      <c r="D18" s="117">
        <f t="shared" si="0"/>
        <v>0</v>
      </c>
      <c r="E18" s="202">
        <v>45.932068604999998</v>
      </c>
      <c r="F18" s="202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70" t="s">
        <v>182</v>
      </c>
      <c r="B19" s="117">
        <v>761.09478662100003</v>
      </c>
      <c r="C19" s="117">
        <f>IF($A19="","",SUM('Situfin serie mensual'!IH18:IQ18))</f>
        <v>83.084563154999998</v>
      </c>
      <c r="D19" s="117">
        <f t="shared" si="0"/>
        <v>10.916454115244564</v>
      </c>
      <c r="E19" s="202">
        <v>542.49403794700004</v>
      </c>
      <c r="F19" s="202">
        <f>IF($A19="","",'2'!N19)</f>
        <v>62.204405895999997</v>
      </c>
      <c r="G19" s="117">
        <f t="shared" si="1"/>
        <v>11.466375949753234</v>
      </c>
      <c r="H19" s="117">
        <f t="shared" si="2"/>
        <v>-25.131211462286473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mensual'!IH19:IQ19))</f>
        <v>66.590111535999995</v>
      </c>
      <c r="D20" s="117">
        <f t="shared" si="0"/>
        <v>325.44895917110603</v>
      </c>
      <c r="E20" s="202">
        <v>30.8843</v>
      </c>
      <c r="F20" s="202">
        <f>IF($A20="","",'2'!N20)</f>
        <v>152.51454167499998</v>
      </c>
      <c r="G20" s="117">
        <f t="shared" si="1"/>
        <v>493.82547661756939</v>
      </c>
      <c r="H20" s="117">
        <f t="shared" si="2"/>
        <v>129.0348193703617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mensual'!IH20:IQ20))</f>
        <v>0</v>
      </c>
      <c r="D21" s="117">
        <f t="shared" si="0"/>
        <v>0</v>
      </c>
      <c r="E21" s="202">
        <v>0</v>
      </c>
      <c r="F21" s="202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20.460999999999999</v>
      </c>
      <c r="C22" s="117">
        <f>IF($A22="","",SUM('Situfin serie mensual'!IH21:IQ21))</f>
        <v>66.590111535999995</v>
      </c>
      <c r="D22" s="117">
        <f t="shared" si="0"/>
        <v>325.44895917110603</v>
      </c>
      <c r="E22" s="202">
        <v>30.8843</v>
      </c>
      <c r="F22" s="202">
        <f>IF($A22="","",'2'!N22)</f>
        <v>152.51454167499998</v>
      </c>
      <c r="G22" s="117">
        <f t="shared" si="1"/>
        <v>493.82547661756939</v>
      </c>
      <c r="H22" s="117">
        <f t="shared" si="2"/>
        <v>129.0348193703617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mensual'!IH22:IQ22))</f>
        <v>1120.17364974</v>
      </c>
      <c r="D23" s="117">
        <f t="shared" si="0"/>
        <v>72.681671452126878</v>
      </c>
      <c r="E23" s="202">
        <v>1654.30989114</v>
      </c>
      <c r="F23" s="202">
        <f>IF($A23="","",'2'!N23)</f>
        <v>1277.137730681</v>
      </c>
      <c r="G23" s="117">
        <f t="shared" si="1"/>
        <v>77.20063438663918</v>
      </c>
      <c r="H23" s="117">
        <f t="shared" si="2"/>
        <v>14.012477527696916</v>
      </c>
      <c r="I23" s="114"/>
    </row>
    <row r="24" spans="1:11" s="118" customFormat="1" ht="12.75" customHeight="1" x14ac:dyDescent="0.2">
      <c r="A24" s="170" t="s">
        <v>181</v>
      </c>
      <c r="B24" s="117">
        <v>1541.2051310320001</v>
      </c>
      <c r="C24" s="117">
        <f>IF($A24="","",SUM('Situfin serie mensual'!IH23:IQ23))</f>
        <v>1120.17364974</v>
      </c>
      <c r="D24" s="117">
        <f t="shared" si="0"/>
        <v>72.681671452126878</v>
      </c>
      <c r="E24" s="202">
        <v>1654.30989114</v>
      </c>
      <c r="F24" s="202">
        <f>IF($A24="","",'2'!N24)</f>
        <v>1277.137730681</v>
      </c>
      <c r="G24" s="117">
        <f t="shared" si="1"/>
        <v>77.20063438663918</v>
      </c>
      <c r="H24" s="117">
        <f t="shared" si="2"/>
        <v>14.012477527696916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mensual'!IH24:IQ24))</f>
        <v>0</v>
      </c>
      <c r="D25" s="117">
        <f t="shared" si="0"/>
        <v>0</v>
      </c>
      <c r="E25" s="202">
        <v>0</v>
      </c>
      <c r="F25" s="202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mensual'!IH25:IQ25))</f>
        <v>5274.445423301001</v>
      </c>
      <c r="D26" s="115">
        <f t="shared" si="0"/>
        <v>49.919822375441051</v>
      </c>
      <c r="E26" s="203">
        <v>13184.834749026999</v>
      </c>
      <c r="F26" s="203">
        <f>IF($A26="","",'2'!N26)</f>
        <v>6268.5224247619999</v>
      </c>
      <c r="G26" s="115">
        <f t="shared" si="1"/>
        <v>47.543428067800377</v>
      </c>
      <c r="H26" s="115">
        <f t="shared" si="2"/>
        <v>18.847043085694821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mensual'!IH26:IQ26))</f>
        <v>2626.59266226</v>
      </c>
      <c r="D27" s="117">
        <f t="shared" si="0"/>
        <v>70.108713863100675</v>
      </c>
      <c r="E27" s="202">
        <v>4515.0400151909998</v>
      </c>
      <c r="F27" s="202">
        <f>IF($A27="","",'2'!N27)</f>
        <v>2671.4926459829999</v>
      </c>
      <c r="G27" s="117">
        <f t="shared" si="1"/>
        <v>59.168747940099649</v>
      </c>
      <c r="H27" s="117">
        <f t="shared" si="2"/>
        <v>1.7094384054346108</v>
      </c>
      <c r="I27" s="114"/>
    </row>
    <row r="28" spans="1:11" s="118" customFormat="1" ht="14.25" customHeight="1" x14ac:dyDescent="0.2">
      <c r="A28" s="170" t="s">
        <v>178</v>
      </c>
      <c r="B28" s="117">
        <v>2597.9610234389997</v>
      </c>
      <c r="C28" s="117">
        <f>IF($A28="","",SUM('Situfin serie mensual'!IH27:IQ27))</f>
        <v>1812.210727487</v>
      </c>
      <c r="D28" s="117">
        <f t="shared" si="0"/>
        <v>69.755116075148877</v>
      </c>
      <c r="E28" s="202">
        <v>3498.1837166570003</v>
      </c>
      <c r="F28" s="202">
        <f>IF($A28="","",'2'!N28)</f>
        <v>2212.3421566689999</v>
      </c>
      <c r="G28" s="117">
        <f t="shared" si="1"/>
        <v>63.242594896736861</v>
      </c>
      <c r="H28" s="117">
        <f t="shared" si="2"/>
        <v>22.07974067877106</v>
      </c>
      <c r="I28" s="114"/>
    </row>
    <row r="29" spans="1:11" s="118" customFormat="1" ht="14.25" customHeight="1" x14ac:dyDescent="0.2">
      <c r="A29" s="170" t="s">
        <v>179</v>
      </c>
      <c r="B29" s="117">
        <v>1148.4957542290003</v>
      </c>
      <c r="C29" s="117">
        <f>IF($A29="","",SUM('Situfin serie mensual'!IH28:IQ28))</f>
        <v>814.3819347729999</v>
      </c>
      <c r="D29" s="117">
        <f t="shared" si="0"/>
        <v>70.908571648983127</v>
      </c>
      <c r="E29" s="202">
        <v>1016.8562985339998</v>
      </c>
      <c r="F29" s="202">
        <f>IF($A29="","",'2'!N29)</f>
        <v>459.15048931399991</v>
      </c>
      <c r="G29" s="117">
        <f t="shared" si="1"/>
        <v>45.153920959722285</v>
      </c>
      <c r="H29" s="117">
        <f t="shared" si="2"/>
        <v>-43.619760003396543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mensual'!IH29:IQ29))</f>
        <v>2253.908207767</v>
      </c>
      <c r="D30" s="117">
        <f t="shared" si="0"/>
        <v>89.550146405247332</v>
      </c>
      <c r="E30" s="202">
        <v>2233.897707696</v>
      </c>
      <c r="F30" s="202">
        <f>IF($A30="","",'2'!N30)</f>
        <v>3086.4857710840006</v>
      </c>
      <c r="G30" s="117">
        <f t="shared" si="1"/>
        <v>138.16594020624802</v>
      </c>
      <c r="H30" s="117">
        <f t="shared" si="2"/>
        <v>36.939284414863323</v>
      </c>
      <c r="I30" s="114"/>
    </row>
    <row r="31" spans="1:11" s="118" customFormat="1" ht="14.25" customHeight="1" x14ac:dyDescent="0.2">
      <c r="A31" s="170" t="s">
        <v>180</v>
      </c>
      <c r="B31" s="117">
        <v>565.49755947099993</v>
      </c>
      <c r="C31" s="117">
        <f>IF($A31="","",SUM('Situfin serie mensual'!IH30:IQ30))</f>
        <v>926.19627965000006</v>
      </c>
      <c r="D31" s="117">
        <f t="shared" si="0"/>
        <v>163.78431067260823</v>
      </c>
      <c r="E31" s="202">
        <v>357.71500100399999</v>
      </c>
      <c r="F31" s="202">
        <f>IF($A31="","",'2'!N31)</f>
        <v>1672.2893663319999</v>
      </c>
      <c r="G31" s="117">
        <f t="shared" si="1"/>
        <v>467.49209891628232</v>
      </c>
      <c r="H31" s="117">
        <f t="shared" si="2"/>
        <v>80.554532886262564</v>
      </c>
      <c r="I31" s="114"/>
    </row>
    <row r="32" spans="1:11" s="118" customFormat="1" ht="14.25" customHeight="1" x14ac:dyDescent="0.2">
      <c r="A32" s="170" t="s">
        <v>23</v>
      </c>
      <c r="B32" s="117">
        <v>1951.4254141300003</v>
      </c>
      <c r="C32" s="117">
        <f>IF($A32="","",SUM('Situfin serie mensual'!IH31:IQ31))</f>
        <v>1327.7119281169998</v>
      </c>
      <c r="D32" s="117">
        <f t="shared" si="0"/>
        <v>68.038056617650994</v>
      </c>
      <c r="E32" s="202">
        <v>1876.1827066920002</v>
      </c>
      <c r="F32" s="202">
        <f>IF($A32="","",'2'!N32)</f>
        <v>1414.196404752</v>
      </c>
      <c r="G32" s="117">
        <f t="shared" si="1"/>
        <v>75.37626264797241</v>
      </c>
      <c r="H32" s="117">
        <f t="shared" si="2"/>
        <v>6.5137982723146166</v>
      </c>
      <c r="I32" s="114"/>
    </row>
    <row r="33" spans="1:13" s="118" customFormat="1" ht="12.75" customHeight="1" x14ac:dyDescent="0.2">
      <c r="A33" s="171" t="s">
        <v>17</v>
      </c>
      <c r="B33" s="117">
        <v>4302.4539643089993</v>
      </c>
      <c r="C33" s="117">
        <f>IF($A33="","",SUM('Situfin serie mensual'!IH32:IQ32))</f>
        <v>393.94455327400004</v>
      </c>
      <c r="D33" s="117">
        <f t="shared" si="0"/>
        <v>9.1562758495957546</v>
      </c>
      <c r="E33" s="202">
        <v>6435.89702614</v>
      </c>
      <c r="F33" s="202">
        <f>IF($A33="","",'2'!N33)</f>
        <v>510.544007695</v>
      </c>
      <c r="G33" s="117">
        <f t="shared" si="1"/>
        <v>7.9327560031084658</v>
      </c>
      <c r="H33" s="117">
        <f t="shared" si="2"/>
        <v>29.597935407905396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mensual'!IH33:IQ33))</f>
        <v/>
      </c>
      <c r="D34" s="117"/>
      <c r="E34" s="202"/>
      <c r="F34" s="202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mensual'!IH34:IQ34))</f>
        <v>36691.410209965004</v>
      </c>
      <c r="D35" s="121">
        <f t="shared" ref="D35:D70" si="3">IFERROR((C35/B35*100),0)</f>
        <v>70.714835148349891</v>
      </c>
      <c r="E35" s="204">
        <v>56602.290618235995</v>
      </c>
      <c r="F35" s="204">
        <f>IF($A35="","",'2'!N35)</f>
        <v>41762.451109065005</v>
      </c>
      <c r="G35" s="121">
        <f t="shared" ref="G35:G70" si="4">IFERROR((F35/E35*100),0)</f>
        <v>73.782263319940753</v>
      </c>
      <c r="H35" s="121">
        <f t="shared" ref="H35:H70" si="5">IF(C35&lt;&gt;0,F35/C35*100-100," ")</f>
        <v>13.820784946888637</v>
      </c>
      <c r="I35" s="114"/>
      <c r="M35" s="225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mensual'!IH35:IQ35))</f>
        <v>15713.799465617998</v>
      </c>
      <c r="D36" s="123">
        <f t="shared" si="3"/>
        <v>74.482227459635411</v>
      </c>
      <c r="E36" s="204">
        <v>22894.635559644994</v>
      </c>
      <c r="F36" s="204">
        <f>IF($A36="","",'2'!N36)</f>
        <v>16861.446120454999</v>
      </c>
      <c r="G36" s="123">
        <f t="shared" si="4"/>
        <v>73.648021504983745</v>
      </c>
      <c r="H36" s="123">
        <f t="shared" si="5"/>
        <v>7.3034319761306961</v>
      </c>
      <c r="I36" s="114"/>
    </row>
    <row r="37" spans="1:13" s="118" customFormat="1" ht="12.75" x14ac:dyDescent="0.2">
      <c r="A37" s="154" t="s">
        <v>26</v>
      </c>
      <c r="B37" s="115">
        <v>7759.7099901840011</v>
      </c>
      <c r="C37" s="115">
        <f>IF($A37="","",SUM('Situfin serie mensual'!IH36:IQ36))</f>
        <v>3996.2142258020003</v>
      </c>
      <c r="D37" s="115">
        <f t="shared" si="3"/>
        <v>51.499530663609775</v>
      </c>
      <c r="E37" s="203">
        <v>7143.6432617210003</v>
      </c>
      <c r="F37" s="203">
        <f>IF($A37="","",'2'!N37)</f>
        <v>5542.5519850600003</v>
      </c>
      <c r="G37" s="115">
        <f t="shared" si="4"/>
        <v>77.587188805460102</v>
      </c>
      <c r="H37" s="115">
        <f t="shared" si="5"/>
        <v>38.695066677704602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mensual'!IH37:IQ37))</f>
        <v>1498.0291128020001</v>
      </c>
      <c r="D38" s="117">
        <f t="shared" si="3"/>
        <v>68.142970777304186</v>
      </c>
      <c r="E38" s="202">
        <v>2087.7705082729999</v>
      </c>
      <c r="F38" s="202">
        <f>IF($A38="","",'2'!N38)</f>
        <v>1442.0469946620001</v>
      </c>
      <c r="G38" s="117">
        <f t="shared" si="4"/>
        <v>69.071144982063132</v>
      </c>
      <c r="H38" s="117">
        <f t="shared" si="5"/>
        <v>-3.7370514138598878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mensual'!IH38:IQ38))</f>
        <v>2312.3027743709999</v>
      </c>
      <c r="D39" s="117">
        <f t="shared" si="3"/>
        <v>43.373376298224017</v>
      </c>
      <c r="E39" s="202">
        <v>4837.4756090769997</v>
      </c>
      <c r="F39" s="202">
        <f>IF($A39="","",'2'!N39)</f>
        <v>3911.0582763520001</v>
      </c>
      <c r="G39" s="117">
        <f t="shared" si="4"/>
        <v>80.849157544346525</v>
      </c>
      <c r="H39" s="117">
        <f t="shared" si="5"/>
        <v>69.141269893424692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mensual'!IH39:IQ39))</f>
        <v>76.594799751999986</v>
      </c>
      <c r="D40" s="117">
        <f t="shared" si="3"/>
        <v>64.807174441604701</v>
      </c>
      <c r="E40" s="202">
        <v>101.109362598</v>
      </c>
      <c r="F40" s="202">
        <f>IF($A40="","",'2'!N40)</f>
        <v>73.441790615999992</v>
      </c>
      <c r="G40" s="117">
        <f t="shared" si="4"/>
        <v>72.635994065155657</v>
      </c>
      <c r="H40" s="117">
        <f t="shared" si="5"/>
        <v>-4.116479377462781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mensual'!IH40:IQ40))</f>
        <v>109.28753887699988</v>
      </c>
      <c r="D41" s="117">
        <f t="shared" si="3"/>
        <v>97.576117459150311</v>
      </c>
      <c r="E41" s="202">
        <v>117.28778177300002</v>
      </c>
      <c r="F41" s="202">
        <f>IF($A41="","",'2'!N41)</f>
        <v>116.00492343000012</v>
      </c>
      <c r="G41" s="117">
        <f t="shared" si="4"/>
        <v>98.906230194136711</v>
      </c>
      <c r="H41" s="117">
        <f t="shared" si="5"/>
        <v>6.1465237684238332</v>
      </c>
      <c r="I41" s="114"/>
    </row>
    <row r="42" spans="1:13" s="118" customFormat="1" ht="12.75" x14ac:dyDescent="0.2">
      <c r="A42" s="154" t="s">
        <v>31</v>
      </c>
      <c r="B42" s="115">
        <v>5244.0037177670001</v>
      </c>
      <c r="C42" s="115">
        <f>IF($A42="","",SUM('Situfin serie mensual'!IH41:IQ41))</f>
        <v>4202.9338944379997</v>
      </c>
      <c r="D42" s="115">
        <f t="shared" si="3"/>
        <v>80.147424003499594</v>
      </c>
      <c r="E42" s="203">
        <v>6954.491533036</v>
      </c>
      <c r="F42" s="203">
        <f>IF($A42="","",'2'!N42)</f>
        <v>5405.9356512510003</v>
      </c>
      <c r="G42" s="115">
        <f>IFERROR((F42/E42*100),0)</f>
        <v>77.733010753857741</v>
      </c>
      <c r="H42" s="115">
        <f t="shared" si="5"/>
        <v>28.622904547820895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mensual'!IH42:IQ42))</f>
        <v>3867.3382685760002</v>
      </c>
      <c r="D43" s="117">
        <f t="shared" si="3"/>
        <v>79.752551502333915</v>
      </c>
      <c r="E43" s="202">
        <v>6273.3996694790003</v>
      </c>
      <c r="F43" s="202">
        <f>IF($A43="","",'2'!N43)</f>
        <v>4879.8196121990004</v>
      </c>
      <c r="G43" s="117">
        <f t="shared" si="4"/>
        <v>77.785887545791653</v>
      </c>
      <c r="H43" s="117">
        <f t="shared" si="5"/>
        <v>26.180315072252739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mensual'!IH43:IQ43))</f>
        <v>335.59562586200002</v>
      </c>
      <c r="D44" s="117">
        <f t="shared" si="3"/>
        <v>84.99709475503991</v>
      </c>
      <c r="E44" s="202">
        <v>681.0918635569999</v>
      </c>
      <c r="F44" s="202">
        <f>IF($A44="","",'2'!N44)</f>
        <v>526.11603905200002</v>
      </c>
      <c r="G44" s="117">
        <f t="shared" si="4"/>
        <v>77.245973297105735</v>
      </c>
      <c r="H44" s="117">
        <f t="shared" si="5"/>
        <v>56.770827301647785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mensual'!IH44:IQ44))</f>
        <v>0</v>
      </c>
      <c r="D45" s="117">
        <f t="shared" si="3"/>
        <v>0</v>
      </c>
      <c r="E45" s="202">
        <v>0</v>
      </c>
      <c r="F45" s="202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5496.8092197080005</v>
      </c>
      <c r="C46" s="115">
        <f>IF($A46="","",SUM('Situfin serie mensual'!IH45:IQ45))</f>
        <v>4102.7912753170003</v>
      </c>
      <c r="D46" s="115">
        <f t="shared" si="3"/>
        <v>74.639506508740496</v>
      </c>
      <c r="E46" s="203">
        <v>6377.064759713001</v>
      </c>
      <c r="F46" s="203">
        <f>IF($A46="","",'2'!N46)</f>
        <v>4825.4764732869999</v>
      </c>
      <c r="G46" s="115">
        <f t="shared" si="4"/>
        <v>75.669240553614358</v>
      </c>
      <c r="H46" s="115">
        <f t="shared" si="5"/>
        <v>17.614476327805932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mensual'!IH46:IQ46))</f>
        <v>0</v>
      </c>
      <c r="D47" s="117">
        <f t="shared" si="3"/>
        <v>0</v>
      </c>
      <c r="E47" s="202">
        <v>0</v>
      </c>
      <c r="F47" s="202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mensual'!IH47:IQ47))</f>
        <v>0</v>
      </c>
      <c r="D48" s="117">
        <f t="shared" si="3"/>
        <v>0</v>
      </c>
      <c r="E48" s="202">
        <v>0</v>
      </c>
      <c r="F48" s="202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mensual'!IH48:IQ48))</f>
        <v>0</v>
      </c>
      <c r="D49" s="117">
        <f t="shared" si="3"/>
        <v>0</v>
      </c>
      <c r="E49" s="202">
        <v>0</v>
      </c>
      <c r="F49" s="202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mensual'!IH49:IQ49))</f>
        <v>59.680018714999996</v>
      </c>
      <c r="D50" s="117">
        <f t="shared" si="3"/>
        <v>81.170581249614926</v>
      </c>
      <c r="E50" s="202">
        <v>49.262196149000005</v>
      </c>
      <c r="F50" s="202">
        <f>IF($A50="","",'2'!N50)</f>
        <v>40.749618337000001</v>
      </c>
      <c r="G50" s="117">
        <f t="shared" si="4"/>
        <v>82.719857258794178</v>
      </c>
      <c r="H50" s="117">
        <f t="shared" si="5"/>
        <v>-31.719829828474943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mensual'!IH50:IQ50))</f>
        <v>59.680018714999996</v>
      </c>
      <c r="D51" s="117">
        <f t="shared" si="3"/>
        <v>81.170581249614926</v>
      </c>
      <c r="E51" s="202">
        <v>49.262196149000005</v>
      </c>
      <c r="F51" s="202">
        <f>IF($A51="","",'2'!N51)</f>
        <v>40.749618337000001</v>
      </c>
      <c r="G51" s="117">
        <f t="shared" si="4"/>
        <v>82.719857258794178</v>
      </c>
      <c r="H51" s="117">
        <f t="shared" si="5"/>
        <v>-31.719829828474943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mensual'!IH51:IQ51))</f>
        <v>0</v>
      </c>
      <c r="D52" s="117">
        <f t="shared" si="3"/>
        <v>0</v>
      </c>
      <c r="E52" s="202">
        <v>0</v>
      </c>
      <c r="F52" s="202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mensual'!IH52:IQ52))</f>
        <v>4043.1112566019997</v>
      </c>
      <c r="D53" s="117">
        <f t="shared" si="3"/>
        <v>74.550963858083534</v>
      </c>
      <c r="E53" s="202">
        <v>6327.8025635640006</v>
      </c>
      <c r="F53" s="202">
        <f>IF($A53="","",'2'!N53)</f>
        <v>4784.7268549500004</v>
      </c>
      <c r="G53" s="117">
        <f t="shared" si="4"/>
        <v>75.61435122045124</v>
      </c>
      <c r="H53" s="117">
        <f t="shared" si="5"/>
        <v>18.342695792430035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mensual'!IH53:IQ53))</f>
        <v>2809.9836696370003</v>
      </c>
      <c r="D54" s="117">
        <f t="shared" si="3"/>
        <v>75.683927609509951</v>
      </c>
      <c r="E54" s="202">
        <v>4225.4953064700003</v>
      </c>
      <c r="F54" s="202">
        <f>IF($A54="","",'2'!N54)</f>
        <v>3180.3310828909998</v>
      </c>
      <c r="G54" s="117">
        <f t="shared" si="4"/>
        <v>75.265284948283721</v>
      </c>
      <c r="H54" s="117">
        <f t="shared" si="5"/>
        <v>13.179699841524055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mensual'!IH54:IQ54))</f>
        <v>1233.1275869650001</v>
      </c>
      <c r="D55" s="117">
        <f t="shared" si="3"/>
        <v>72.091764202932922</v>
      </c>
      <c r="E55" s="202">
        <v>2102.3072570939999</v>
      </c>
      <c r="F55" s="202">
        <f>IF($A55="","",'2'!N55)</f>
        <v>1604.3957720589999</v>
      </c>
      <c r="G55" s="117">
        <f t="shared" si="4"/>
        <v>76.315950803344592</v>
      </c>
      <c r="H55" s="117">
        <f t="shared" si="5"/>
        <v>30.107848451251726</v>
      </c>
      <c r="I55" s="114"/>
    </row>
    <row r="56" spans="1:9" s="118" customFormat="1" ht="12.75" x14ac:dyDescent="0.2">
      <c r="A56" s="154" t="s">
        <v>35</v>
      </c>
      <c r="B56" s="115">
        <v>9617.9789692800005</v>
      </c>
      <c r="C56" s="115">
        <f>IF($A56="","",SUM('Situfin serie mensual'!IH55:IQ55))</f>
        <v>7267.0079988930001</v>
      </c>
      <c r="D56" s="115">
        <f t="shared" si="3"/>
        <v>75.556497078065519</v>
      </c>
      <c r="E56" s="203">
        <v>10523.465091745002</v>
      </c>
      <c r="F56" s="203">
        <f>IF($A56="","",'2'!N56)</f>
        <v>7483.5057972169989</v>
      </c>
      <c r="G56" s="115">
        <f t="shared" si="4"/>
        <v>71.112563513773992</v>
      </c>
      <c r="H56" s="115">
        <f t="shared" si="5"/>
        <v>2.9791875605060341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mensual'!IH56:IQ56))</f>
        <v>3945.4197439960003</v>
      </c>
      <c r="D57" s="117">
        <f t="shared" si="3"/>
        <v>77.460660123064315</v>
      </c>
      <c r="E57" s="202">
        <v>5912.4791456250005</v>
      </c>
      <c r="F57" s="202">
        <f>IF($A57="","",'2'!N57)</f>
        <v>4399.0060762819994</v>
      </c>
      <c r="G57" s="117">
        <f t="shared" si="4"/>
        <v>74.402056530501071</v>
      </c>
      <c r="H57" s="117">
        <f t="shared" si="5"/>
        <v>11.496529183650253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mensual'!IH57:IQ57))</f>
        <v>2504.3244577649998</v>
      </c>
      <c r="D58" s="117">
        <f t="shared" si="3"/>
        <v>70.421855603257256</v>
      </c>
      <c r="E58" s="202">
        <v>4261.1303170070005</v>
      </c>
      <c r="F58" s="202">
        <f>IF($A58="","",'2'!N58)</f>
        <v>2813.802487207</v>
      </c>
      <c r="G58" s="117">
        <f t="shared" si="4"/>
        <v>66.034180554783006</v>
      </c>
      <c r="H58" s="117">
        <f t="shared" si="5"/>
        <v>12.357744959221279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mensual'!IH58:IQ58))</f>
        <v>817.26379713199992</v>
      </c>
      <c r="D59" s="117">
        <f t="shared" si="3"/>
        <v>84.397192842811307</v>
      </c>
      <c r="E59" s="117">
        <v>349.85562911300002</v>
      </c>
      <c r="F59" s="202">
        <f>IF($A59="","",'2'!N59)</f>
        <v>270.69723372800001</v>
      </c>
      <c r="G59" s="117">
        <f t="shared" si="4"/>
        <v>77.373982638011924</v>
      </c>
      <c r="H59" s="117">
        <f t="shared" si="5"/>
        <v>-66.877618380020024</v>
      </c>
      <c r="I59" s="114"/>
    </row>
    <row r="60" spans="1:9" s="118" customFormat="1" ht="12.75" x14ac:dyDescent="0.2">
      <c r="A60" s="154" t="s">
        <v>39</v>
      </c>
      <c r="B60" s="115">
        <v>2670.5564618910003</v>
      </c>
      <c r="C60" s="115">
        <f>IF($A60="","",SUM('Situfin serie mensual'!IH59:IQ59))</f>
        <v>1408.6633498970002</v>
      </c>
      <c r="D60" s="115">
        <f t="shared" si="3"/>
        <v>52.747933623524169</v>
      </c>
      <c r="E60" s="203">
        <v>2708.9904123759998</v>
      </c>
      <c r="F60" s="203">
        <f>IF($A60="","",'2'!N60)</f>
        <v>1643.5350817950002</v>
      </c>
      <c r="G60" s="115">
        <f t="shared" si="4"/>
        <v>60.669652955821633</v>
      </c>
      <c r="H60" s="115">
        <f t="shared" si="5"/>
        <v>16.673375644732545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mensual'!IH60:IQ60))</f>
        <v>420.15573823</v>
      </c>
      <c r="D61" s="117">
        <f t="shared" si="3"/>
        <v>40.383034904757622</v>
      </c>
      <c r="E61" s="202">
        <v>924.23581712399994</v>
      </c>
      <c r="F61" s="202">
        <f>IF($A61="","",'2'!N61)</f>
        <v>707.07297622300007</v>
      </c>
      <c r="G61" s="117">
        <f t="shared" si="4"/>
        <v>76.503524654913448</v>
      </c>
      <c r="H61" s="117">
        <f t="shared" si="5"/>
        <v>68.288306426969939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mensual'!IH61:IQ61))</f>
        <v>86.623115568000003</v>
      </c>
      <c r="D62" s="117">
        <f t="shared" si="3"/>
        <v>43.754560364087361</v>
      </c>
      <c r="E62" s="202">
        <v>212.765445167</v>
      </c>
      <c r="F62" s="202">
        <f>IF($A62="","",'2'!N62)</f>
        <v>165.86619190799999</v>
      </c>
      <c r="G62" s="117">
        <f t="shared" si="4"/>
        <v>77.9572978957233</v>
      </c>
      <c r="H62" s="117">
        <f t="shared" si="5"/>
        <v>91.480288858686208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mensual'!IH62:IQ62))</f>
        <v>168.58007462900002</v>
      </c>
      <c r="D63" s="117">
        <f t="shared" si="3"/>
        <v>54.056833443042073</v>
      </c>
      <c r="E63" s="202">
        <v>283.57136303299995</v>
      </c>
      <c r="F63" s="202">
        <f>IF($A63="","",'2'!N63)</f>
        <v>186.99612967799999</v>
      </c>
      <c r="G63" s="117">
        <f t="shared" si="4"/>
        <v>65.943234774464429</v>
      </c>
      <c r="H63" s="117">
        <f t="shared" si="5"/>
        <v>10.924218113871902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mensual'!IH63:IQ63))</f>
        <v>18.448160360000006</v>
      </c>
      <c r="D64" s="117">
        <f t="shared" si="3"/>
        <v>58.351271880736299</v>
      </c>
      <c r="E64" s="202">
        <v>27.815346938999998</v>
      </c>
      <c r="F64" s="202">
        <f>IF($A64="","",'2'!N64)</f>
        <v>10.441925940999999</v>
      </c>
      <c r="G64" s="117">
        <f t="shared" si="4"/>
        <v>37.540160703008659</v>
      </c>
      <c r="H64" s="117">
        <f t="shared" si="5"/>
        <v>-43.398551740472854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mensual'!IH64:IQ64))</f>
        <v>117.69668804299999</v>
      </c>
      <c r="D65" s="117">
        <f t="shared" si="3"/>
        <v>25.264064358380562</v>
      </c>
      <c r="E65" s="202">
        <v>364.279769058</v>
      </c>
      <c r="F65" s="202">
        <f>IF($A65="","",'2'!N65)</f>
        <v>312.19084268900002</v>
      </c>
      <c r="G65" s="117">
        <f t="shared" si="4"/>
        <v>85.700845670431264</v>
      </c>
      <c r="H65" s="117">
        <f t="shared" si="5"/>
        <v>165.25032087134213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mensual'!IH65:IQ65))</f>
        <v>28.807699630000002</v>
      </c>
      <c r="D66" s="117">
        <f t="shared" si="3"/>
        <v>86.999488964813466</v>
      </c>
      <c r="E66" s="202">
        <v>35.803892927</v>
      </c>
      <c r="F66" s="202">
        <f>IF($A66="","",'2'!N66)</f>
        <v>31.577886007</v>
      </c>
      <c r="G66" s="117">
        <f t="shared" si="4"/>
        <v>88.196794888711295</v>
      </c>
      <c r="H66" s="117">
        <f t="shared" si="5"/>
        <v>9.6161318417634476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mensual'!IH66:IQ66))</f>
        <v>988.50761166699999</v>
      </c>
      <c r="D67" s="117">
        <f t="shared" si="3"/>
        <v>60.639798485200878</v>
      </c>
      <c r="E67" s="202">
        <v>1784.7545952519997</v>
      </c>
      <c r="F67" s="202">
        <f>IF($A67="","",'2'!N67)</f>
        <v>936.46210557200004</v>
      </c>
      <c r="G67" s="117">
        <f t="shared" si="4"/>
        <v>52.470076730060221</v>
      </c>
      <c r="H67" s="117">
        <f t="shared" si="5"/>
        <v>-5.2650587087773033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mensual'!IH67:IQ67))</f>
        <v>633.43187941200006</v>
      </c>
      <c r="D68" s="117">
        <f t="shared" si="3"/>
        <v>64.028337530356509</v>
      </c>
      <c r="E68" s="202">
        <v>1115.346644988</v>
      </c>
      <c r="F68" s="202">
        <f>IF($A68="","",'2'!N68)</f>
        <v>936.46210557200004</v>
      </c>
      <c r="G68" s="117">
        <f t="shared" si="4"/>
        <v>83.961529788084448</v>
      </c>
      <c r="H68" s="117">
        <f t="shared" si="5"/>
        <v>47.839434043214851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mensual'!IH68:IQ68))</f>
        <v>0</v>
      </c>
      <c r="D69" s="117">
        <f t="shared" si="3"/>
        <v>0</v>
      </c>
      <c r="E69" s="202">
        <v>0</v>
      </c>
      <c r="F69" s="202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mensual'!IH69:IQ69))</f>
        <v>355.07573225500005</v>
      </c>
      <c r="D70" s="117">
        <f t="shared" si="3"/>
        <v>55.408653132403252</v>
      </c>
      <c r="E70" s="202">
        <v>669.40795026399996</v>
      </c>
      <c r="F70" s="202">
        <f>IF($A70="","",'2'!N70)</f>
        <v>0</v>
      </c>
      <c r="G70" s="117">
        <f t="shared" si="4"/>
        <v>0</v>
      </c>
      <c r="H70" s="117">
        <f t="shared" si="5"/>
        <v>-100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mensual'!IH70:IQ70))</f>
        <v/>
      </c>
      <c r="D71" s="117"/>
      <c r="E71" s="202"/>
      <c r="F71" s="202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mensual'!IH71:IQ71))</f>
        <v>-740.19952369699968</v>
      </c>
      <c r="D72" s="199"/>
      <c r="E72" s="205">
        <v>-1982.6768838369826</v>
      </c>
      <c r="F72" s="205">
        <f>IF($A72="","",'2'!N72)</f>
        <v>457.47082543200258</v>
      </c>
      <c r="G72" s="199"/>
      <c r="H72" s="199"/>
      <c r="I72" s="114"/>
      <c r="L72" s="220"/>
    </row>
    <row r="73" spans="1:12" s="118" customFormat="1" ht="7.5" customHeight="1" x14ac:dyDescent="0.2">
      <c r="A73" s="112"/>
      <c r="B73" s="115"/>
      <c r="C73" s="115" t="str">
        <f>IF($A73="","",SUM('Situfin serie mensual'!IH72:IQ72))</f>
        <v/>
      </c>
      <c r="D73" s="121"/>
      <c r="E73" s="203"/>
      <c r="F73" s="203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mensual'!IH73:IQ73))</f>
        <v/>
      </c>
      <c r="D74" s="121"/>
      <c r="E74" s="204"/>
      <c r="F74" s="204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mensual'!IH74:IQ74))</f>
        <v>4969.544411887</v>
      </c>
      <c r="D75" s="115">
        <f>IFERROR((C75/B75*100),0)</f>
        <v>46.068982063061597</v>
      </c>
      <c r="E75" s="203">
        <v>9168.6582808479998</v>
      </c>
      <c r="F75" s="203">
        <f>IF($A75="","",'2'!N75)</f>
        <v>4829.5173940140003</v>
      </c>
      <c r="G75" s="115">
        <f>IFERROR((F75/E75*100),0)</f>
        <v>52.674199932853462</v>
      </c>
      <c r="H75" s="115">
        <f>IF(C75&lt;&gt;0,F75/C75*100-100," ")</f>
        <v>-2.817703319806526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mensual'!IH75:IQ75))</f>
        <v>4584.5427711880002</v>
      </c>
      <c r="D76" s="117">
        <f>IFERROR((C76/B76*100),0)</f>
        <v>43.060271401020685</v>
      </c>
      <c r="E76" s="202">
        <v>9051.4480791429996</v>
      </c>
      <c r="F76" s="202">
        <f>IF($A76="","",'2'!N76)</f>
        <v>4531.5181662970008</v>
      </c>
      <c r="G76" s="117">
        <f>IFERROR((F76/E76*100),0)</f>
        <v>50.064013257048366</v>
      </c>
      <c r="H76" s="117">
        <f>IF(C76&lt;&gt;0,F76/C76*100-100," ")</f>
        <v>-1.1565952710538028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mensual'!IH76:IQ76))</f>
        <v>61.080700946999997</v>
      </c>
      <c r="D77" s="117">
        <f>IFERROR((C77/B77*100),0)</f>
        <v>43.511999331253719</v>
      </c>
      <c r="E77" s="202">
        <v>117.210201705</v>
      </c>
      <c r="F77" s="202">
        <f>IF($A77="","",'2'!N77)</f>
        <v>55.305925408999997</v>
      </c>
      <c r="G77" s="117">
        <f>IFERROR((F77/E77*100),0)</f>
        <v>47.185248898552771</v>
      </c>
      <c r="H77" s="117">
        <f>IF(C77&lt;&gt;0,F77/C77*100-100," ")</f>
        <v>-9.4543373741090448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mensual'!IH77:IQ77))</f>
        <v>323.92093975199992</v>
      </c>
      <c r="D78" s="117">
        <v>0</v>
      </c>
      <c r="E78" s="202"/>
      <c r="F78" s="202">
        <f>IF($A78="","",'2'!N78)</f>
        <v>242.693302308</v>
      </c>
      <c r="G78" s="117">
        <v>0</v>
      </c>
      <c r="H78" s="117">
        <f>IF(C78&lt;&gt;0,F78/C78*100-100," ")</f>
        <v>-25.076377435243728</v>
      </c>
      <c r="I78" s="114"/>
      <c r="J78" s="128"/>
    </row>
    <row r="79" spans="1:12" s="118" customFormat="1" ht="13.5" x14ac:dyDescent="0.25">
      <c r="A79" s="149" t="s">
        <v>55</v>
      </c>
      <c r="B79" s="130">
        <v>-13589.433561217007</v>
      </c>
      <c r="C79" s="130">
        <f>IF($A79="","",SUM('Situfin serie mensual'!IH78:IQ78))</f>
        <v>-5709.7439355839997</v>
      </c>
      <c r="D79" s="200">
        <f>IFERROR((C79/B79*100),0)</f>
        <v>42.016055414399936</v>
      </c>
      <c r="E79" s="206">
        <v>-11151.335164684982</v>
      </c>
      <c r="F79" s="206">
        <f>IF($A79="","",'2'!N79)</f>
        <v>-4372.0465685819981</v>
      </c>
      <c r="G79" s="200">
        <f>IFERROR((F79/E79*100),0)</f>
        <v>39.206485178813168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mensual'!IH79:IQ79))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mensual'!IH81:IQ81))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mensual'!IH82:IQ82))</f>
        <v>1912.8348189836811</v>
      </c>
      <c r="D83" s="115">
        <f t="shared" ref="D83:D90" si="6">IFERROR((C83/B83*100),0)</f>
        <v>-347.39273058390154</v>
      </c>
      <c r="E83" s="115">
        <v>-346.46410013800005</v>
      </c>
      <c r="F83" s="115">
        <f>IF($A83="","",'2'!N83)</f>
        <v>6144.1344678257956</v>
      </c>
      <c r="G83" s="115">
        <f t="shared" ref="G83:G95" si="7">IFERROR((F83/E83*100),0)</f>
        <v>-1773.3827156633331</v>
      </c>
      <c r="H83" s="115">
        <f t="shared" ref="H83:H88" si="8">IF(C83&lt;&gt;0,F83/C83*100-100," ")</f>
        <v>221.20569987795756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mensual'!IH83:IQ83))</f>
        <v>1912.8348189836811</v>
      </c>
      <c r="D84" s="117">
        <f t="shared" si="6"/>
        <v>-347.39273058390154</v>
      </c>
      <c r="E84" s="117">
        <v>-346.46410013800005</v>
      </c>
      <c r="F84" s="117">
        <f>IF($A84="","",'2'!N84)</f>
        <v>6144.1344678257956</v>
      </c>
      <c r="G84" s="117">
        <f t="shared" si="7"/>
        <v>-1773.3827156633331</v>
      </c>
      <c r="H84" s="117">
        <f t="shared" si="8"/>
        <v>221.20569987795756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mensual'!IH84:IQ84))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mensual'!IH85:IQ85))</f>
        <v>8376.1513473329996</v>
      </c>
      <c r="D86" s="115">
        <f t="shared" si="6"/>
        <v>64.240164068830623</v>
      </c>
      <c r="E86" s="115">
        <v>10804.871064547002</v>
      </c>
      <c r="F86" s="115">
        <f>IF($A86="","",'2'!N86)</f>
        <v>8094.9206332269987</v>
      </c>
      <c r="G86" s="115">
        <f t="shared" si="7"/>
        <v>74.919178441546549</v>
      </c>
      <c r="H86" s="115">
        <f t="shared" si="8"/>
        <v>-3.3575171035507339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mensual'!IH86:IQ86))</f>
        <v>-475.33070951400043</v>
      </c>
      <c r="D87" s="117">
        <f t="shared" si="6"/>
        <v>-36.528528284837442</v>
      </c>
      <c r="E87" s="117">
        <v>1194.0295273490001</v>
      </c>
      <c r="F87" s="117">
        <f>IF($A87="","",'2'!N87)</f>
        <v>-1883.7311968380004</v>
      </c>
      <c r="G87" s="117">
        <f t="shared" si="7"/>
        <v>-157.7625304644086</v>
      </c>
      <c r="H87" s="117">
        <f t="shared" si="8"/>
        <v>296.29907328394836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mensual'!IH87:IQ87))</f>
        <v>8851.4820568470004</v>
      </c>
      <c r="D88" s="117">
        <f t="shared" si="6"/>
        <v>75.411675011449759</v>
      </c>
      <c r="E88" s="117">
        <v>9610.8415371980009</v>
      </c>
      <c r="F88" s="117">
        <f>IF($A88="","",'2'!N88)</f>
        <v>9978.6518300649986</v>
      </c>
      <c r="G88" s="117">
        <f t="shared" si="7"/>
        <v>103.82703524393173</v>
      </c>
      <c r="H88" s="117">
        <f t="shared" si="8"/>
        <v>12.734249089349774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mensual'!IH88:IQ88))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mensual'!IH89:IQ89))</f>
        <v>-643.58763064699974</v>
      </c>
      <c r="D90" s="115">
        <f t="shared" si="6"/>
        <v>137.2388352051214</v>
      </c>
      <c r="E90" s="115">
        <v>-259.41554707200004</v>
      </c>
      <c r="F90" s="115">
        <f>IF($A90="","",'2'!N90)</f>
        <v>-3208.6821158540001</v>
      </c>
      <c r="G90" s="115"/>
      <c r="H90" s="115">
        <f t="shared" ref="H90:H95" si="9">IF(C90&lt;&gt;0,F90/C90*100-100," ")</f>
        <v>398.56180620319049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mensual'!IH90:IQ90))</f>
        <v>2633.4262358380006</v>
      </c>
      <c r="D91" s="132">
        <f>IFERROR((C91/B91*100),0)</f>
        <v>0</v>
      </c>
      <c r="E91" s="132">
        <v>0</v>
      </c>
      <c r="F91" s="132">
        <f>IF($A91="","",'2'!N91)</f>
        <v>2275.945141745</v>
      </c>
      <c r="G91" s="132"/>
      <c r="H91" s="132">
        <f t="shared" si="9"/>
        <v>-13.574752511692964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mensual'!IH91:IQ91))</f>
        <v>3277.0138664850001</v>
      </c>
      <c r="D92" s="132">
        <f>IFERROR((C92/B92*100),0)</f>
        <v>698.7915002892687</v>
      </c>
      <c r="E92" s="132">
        <v>259.41554707200004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mensual'!IH92:IQ92))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mensual'!IH93:IQ93))</f>
        <v>1370.1231890196809</v>
      </c>
      <c r="D94" s="134">
        <f>IFERROR((C94/B94*100),0)</f>
        <v>-74.752180947449006</v>
      </c>
      <c r="E94" s="134">
        <v>-1508.29531417</v>
      </c>
      <c r="F94" s="134">
        <f>IF($A94="","",'2'!N94)</f>
        <v>5951.8518627447938</v>
      </c>
      <c r="G94" s="134">
        <f t="shared" si="7"/>
        <v>-394.60786006751198</v>
      </c>
      <c r="H94" s="134">
        <f t="shared" si="9"/>
        <v>334.40268075481055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mensual'!IH94:IQ94))</f>
        <v>1370.1231890196809</v>
      </c>
      <c r="D95" s="132">
        <f>IFERROR((C95/B95*100),0)</f>
        <v>-74.752180947449006</v>
      </c>
      <c r="E95" s="132">
        <v>-1508.29531417</v>
      </c>
      <c r="F95" s="132">
        <f>IF($A95="","",'2'!N95)</f>
        <v>5951.8518627447938</v>
      </c>
      <c r="G95" s="132">
        <f t="shared" si="7"/>
        <v>-394.60786006751198</v>
      </c>
      <c r="H95" s="132">
        <f t="shared" si="9"/>
        <v>334.40268075481055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mensual'!HI95:IQ95))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2.0008883439004421E-11</v>
      </c>
      <c r="F97" s="134">
        <f>IF($A97="","",'2'!N97)</f>
        <v>-2421.2604031807941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12" t="s">
        <v>190</v>
      </c>
      <c r="B99" s="213"/>
      <c r="C99" s="213"/>
      <c r="D99" s="213"/>
      <c r="E99" s="213"/>
      <c r="F99" s="213"/>
      <c r="G99" s="213"/>
      <c r="H99" s="213"/>
      <c r="I99" s="114"/>
    </row>
    <row r="100" spans="1:12" x14ac:dyDescent="0.2">
      <c r="A100" s="207" t="s">
        <v>191</v>
      </c>
      <c r="B100" s="208">
        <f>B35-B49-B52-B55-B67-B42</f>
        <v>43301.808580236007</v>
      </c>
      <c r="C100" s="208">
        <f>C35-C49-C52-C55-C67-C42</f>
        <v>30266.841116895004</v>
      </c>
      <c r="D100" s="132">
        <f>IFERROR((C100/B100*100),0)</f>
        <v>69.897406388493252</v>
      </c>
      <c r="E100" s="208">
        <f>E35-E49-E52-E55-E67-E42</f>
        <v>45760.737232853993</v>
      </c>
      <c r="F100" s="208">
        <f>F35-F49-F52-F55-F67-F42</f>
        <v>33815.657580183011</v>
      </c>
      <c r="G100" s="132">
        <f t="shared" ref="G100:G101" si="10">IFERROR((F100/E100*100),0)</f>
        <v>73.896662564922593</v>
      </c>
      <c r="H100" s="132">
        <f t="shared" ref="H100:H101" si="11">IF(C100&lt;&gt;0,F100/C100*100-100," ")</f>
        <v>11.725096945472274</v>
      </c>
      <c r="I100" s="114"/>
      <c r="J100" s="211"/>
    </row>
    <row r="101" spans="1:12" x14ac:dyDescent="0.2">
      <c r="A101" s="207" t="s">
        <v>92</v>
      </c>
      <c r="B101" s="208">
        <f>B79+B42</f>
        <v>-8345.429843450007</v>
      </c>
      <c r="C101" s="208">
        <f>C79+C42</f>
        <v>-1506.810041146</v>
      </c>
      <c r="D101" s="132">
        <f>IFERROR((C101/B101*100),0)</f>
        <v>18.055511452518346</v>
      </c>
      <c r="E101" s="208">
        <f>E79+E42</f>
        <v>-4196.8436316489824</v>
      </c>
      <c r="F101" s="208">
        <f>F79+F42</f>
        <v>1033.8890826690022</v>
      </c>
      <c r="G101" s="132">
        <f t="shared" si="10"/>
        <v>-24.634920273709998</v>
      </c>
      <c r="H101" s="132">
        <f t="shared" si="11"/>
        <v>-168.61442746178415</v>
      </c>
      <c r="I101" s="114"/>
      <c r="J101" s="211"/>
    </row>
    <row r="102" spans="1:12" ht="9" customHeight="1" x14ac:dyDescent="0.2">
      <c r="A102" s="214"/>
      <c r="B102" s="215"/>
      <c r="C102" s="215"/>
      <c r="D102" s="216"/>
      <c r="E102" s="215"/>
      <c r="F102" s="215"/>
      <c r="G102" s="216"/>
      <c r="H102" s="216"/>
      <c r="I102" s="114"/>
      <c r="J102" s="211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hidden="1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99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4" customWidth="1"/>
    <col min="7" max="7" width="7.7109375" style="103" customWidth="1"/>
    <col min="8" max="10" width="8.5703125" style="103" customWidth="1"/>
    <col min="11" max="11" width="10.28515625" style="103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5.140625" style="103" customWidth="1"/>
    <col min="16" max="16" width="16.8554687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5" t="s">
        <v>137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1:246" ht="18.75" customHeight="1" x14ac:dyDescent="0.25">
      <c r="A3" s="236" t="s">
        <v>138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5" t="s">
        <v>139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</row>
    <row r="6" spans="1:246" ht="18.75" x14ac:dyDescent="0.3">
      <c r="A6" s="235" t="s">
        <v>140</v>
      </c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7" t="s">
        <v>141</v>
      </c>
      <c r="B8" s="233" t="s">
        <v>154</v>
      </c>
      <c r="C8" s="233" t="s">
        <v>155</v>
      </c>
      <c r="D8" s="233" t="s">
        <v>156</v>
      </c>
      <c r="E8" s="233" t="s">
        <v>157</v>
      </c>
      <c r="F8" s="233" t="s">
        <v>158</v>
      </c>
      <c r="G8" s="233" t="s">
        <v>159</v>
      </c>
      <c r="H8" s="233" t="s">
        <v>160</v>
      </c>
      <c r="I8" s="233" t="s">
        <v>161</v>
      </c>
      <c r="J8" s="233" t="s">
        <v>162</v>
      </c>
      <c r="K8" s="233" t="s">
        <v>163</v>
      </c>
      <c r="L8" s="233" t="s">
        <v>164</v>
      </c>
      <c r="M8" s="233" t="s">
        <v>165</v>
      </c>
      <c r="N8" s="233" t="s">
        <v>166</v>
      </c>
    </row>
    <row r="9" spans="1:246" s="3" customFormat="1" ht="23.25" customHeight="1" thickBot="1" x14ac:dyDescent="0.25">
      <c r="A9" s="238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5280.9667066130005</v>
      </c>
      <c r="F10" s="115">
        <f>IF($A10="","",'Situfin serie mensual'!IX2)</f>
        <v>5401.0182893279998</v>
      </c>
      <c r="G10" s="115">
        <f>IF($A10="","",'Situfin serie mensual'!IY2)</f>
        <v>4396.6861224169998</v>
      </c>
      <c r="H10" s="115">
        <f>IF($A10="","",'Situfin serie mensual'!IZ2)</f>
        <v>4743.8921766940002</v>
      </c>
      <c r="I10" s="115">
        <f>IF($A10="","",'Situfin serie mensual'!JA2)</f>
        <v>3531.4488884879997</v>
      </c>
      <c r="J10" s="115">
        <f>IF($A10="","",'Situfin serie mensual'!JB2)</f>
        <v>4431.2008943210003</v>
      </c>
      <c r="K10" s="115">
        <f>IF($A10="","",'Situfin serie mensual'!JC2)</f>
        <v>3981.7974857539998</v>
      </c>
      <c r="L10" s="115">
        <f>IF($A10="","",'Situfin serie mensual'!JD2)</f>
        <v>0</v>
      </c>
      <c r="M10" s="115">
        <f>IF($A10="","",'Situfin serie mensual'!JE2)</f>
        <v>0</v>
      </c>
      <c r="N10" s="115">
        <f>+SUM(B10:M10)</f>
        <v>42219.921934497004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4063.1005273820001</v>
      </c>
      <c r="F12" s="115">
        <f>IF($A12="","",'Situfin serie mensual'!IX4)</f>
        <v>4387.6120386270004</v>
      </c>
      <c r="G12" s="115">
        <f>IF($A12="","",'Situfin serie mensual'!IY4)</f>
        <v>2655.7522247849997</v>
      </c>
      <c r="H12" s="115">
        <f>IF($A12="","",'Situfin serie mensual'!IZ4)</f>
        <v>3659.0060726440001</v>
      </c>
      <c r="I12" s="115">
        <f>IF($A12="","",'Situfin serie mensual'!JA4)</f>
        <v>2638.0364757970001</v>
      </c>
      <c r="J12" s="115">
        <f>IF($A12="","",'Situfin serie mensual'!JB4)</f>
        <v>3463.2350112230001</v>
      </c>
      <c r="K12" s="115">
        <f>IF($A12="","",'Situfin serie mensual'!JC4)</f>
        <v>2938.4754179310003</v>
      </c>
      <c r="L12" s="115">
        <f>IF($A12="","",'Situfin serie mensual'!JD4)</f>
        <v>0</v>
      </c>
      <c r="M12" s="115">
        <f>IF($A12="","",'Situfin serie mensual'!JE4)</f>
        <v>0</v>
      </c>
      <c r="N12" s="115">
        <f>+SUM(B12:M12)</f>
        <v>31757.824714815004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259.91833523700001</v>
      </c>
      <c r="G14" s="115">
        <f>IF($A14="","",'Situfin serie mensual'!IY13)</f>
        <v>252.199702183</v>
      </c>
      <c r="H14" s="115">
        <f>IF($A14="","",'Situfin serie mensual'!IZ13)</f>
        <v>290.76578039700001</v>
      </c>
      <c r="I14" s="115">
        <f>IF($A14="","",'Situfin serie mensual'!JA13)</f>
        <v>261.51274837</v>
      </c>
      <c r="J14" s="115">
        <f>IF($A14="","",'Situfin serie mensual'!JB13)</f>
        <v>261.46539940299999</v>
      </c>
      <c r="K14" s="115">
        <f>IF($A14="","",'Situfin serie mensual'!JC13)</f>
        <v>278.58991820699998</v>
      </c>
      <c r="L14" s="115">
        <f>IF($A14="","",'Situfin serie mensual'!JD13)</f>
        <v>0</v>
      </c>
      <c r="M14" s="115">
        <f>IF($A14="","",'Situfin serie mensual'!JE13)</f>
        <v>0</v>
      </c>
      <c r="N14" s="115">
        <f>+SUM(B14:M14)</f>
        <v>2701.7181166680002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321.20730355900002</v>
      </c>
      <c r="F16" s="115">
        <f>IF($A16="","",'Situfin serie mensual'!IX15)</f>
        <v>155.119391001</v>
      </c>
      <c r="G16" s="115">
        <f>IF($A16="","",'Situfin serie mensual'!IY15)</f>
        <v>115.63039133999999</v>
      </c>
      <c r="H16" s="115">
        <f>IF($A16="","",'Situfin serie mensual'!IZ15)</f>
        <v>227.37097505699998</v>
      </c>
      <c r="I16" s="115">
        <f>IF($A16="","",'Situfin serie mensual'!JA15)</f>
        <v>144.35493190900002</v>
      </c>
      <c r="J16" s="115">
        <f>IF($A16="","",'Situfin serie mensual'!JB15)</f>
        <v>133.323971091</v>
      </c>
      <c r="K16" s="115">
        <f>IF($A16="","",'Situfin serie mensual'!JC15)</f>
        <v>136.672912569</v>
      </c>
      <c r="L16" s="115">
        <f>IF($A16="","",'Situfin serie mensual'!JD15)</f>
        <v>0</v>
      </c>
      <c r="M16" s="115">
        <f>IF($A16="","",'Situfin serie mensual'!JE15)</f>
        <v>0</v>
      </c>
      <c r="N16" s="115">
        <f t="shared" ref="N16:N33" si="0">+SUM(B16:M16)</f>
        <v>1491.8566782519997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9.2199513769999992</v>
      </c>
      <c r="I17" s="117">
        <f>IF($A17="","",'Situfin serie mensual'!JA16)</f>
        <v>9.9371759100000006</v>
      </c>
      <c r="J17" s="117">
        <f>IF($A17="","",'Situfin serie mensual'!JB16)</f>
        <v>0</v>
      </c>
      <c r="K17" s="117">
        <f>IF($A17="","",'Situfin serie mensual'!JC16)</f>
        <v>16.103083534</v>
      </c>
      <c r="L17" s="117">
        <f>IF($A17="","",'Situfin serie mensual'!JD16)</f>
        <v>0</v>
      </c>
      <c r="M17" s="117">
        <f>IF($A17="","",'Situfin serie mensual'!JE16)</f>
        <v>0</v>
      </c>
      <c r="N17" s="117">
        <f t="shared" si="0"/>
        <v>62.204405895999997</v>
      </c>
      <c r="P17" s="10"/>
    </row>
    <row r="18" spans="1:16" s="118" customFormat="1" ht="12.75" x14ac:dyDescent="0.2">
      <c r="A18" s="170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9.2199513769999992</v>
      </c>
      <c r="I19" s="117">
        <f>IF($A19="","",'Situfin serie mensual'!JA18)</f>
        <v>9.9371759100000006</v>
      </c>
      <c r="J19" s="117">
        <f>IF($A19="","",'Situfin serie mensual'!JB18)</f>
        <v>0</v>
      </c>
      <c r="K19" s="117">
        <f>IF($A19="","",'Situfin serie mensual'!JC18)</f>
        <v>16.103083534</v>
      </c>
      <c r="L19" s="117">
        <f>IF($A19="","",'Situfin serie mensual'!JD18)</f>
        <v>0</v>
      </c>
      <c r="M19" s="117">
        <f>IF($A19="","",'Situfin serie mensual'!JE18)</f>
        <v>0</v>
      </c>
      <c r="N19" s="117">
        <f t="shared" si="0"/>
        <v>62.204405895999997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0</v>
      </c>
      <c r="N20" s="117">
        <f t="shared" si="0"/>
        <v>152.51454167499998</v>
      </c>
      <c r="P20" s="10"/>
    </row>
    <row r="21" spans="1:16" s="118" customFormat="1" ht="12.75" x14ac:dyDescent="0.2">
      <c r="A21" s="170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0</v>
      </c>
      <c r="N22" s="117">
        <f t="shared" si="0"/>
        <v>152.51454167499998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168.69276188400002</v>
      </c>
      <c r="F23" s="117">
        <f>IF($A23="","",'Situfin serie mensual'!IX22)</f>
        <v>155.119391001</v>
      </c>
      <c r="G23" s="117">
        <f>IF($A23="","",'Situfin serie mensual'!IY22)</f>
        <v>115.63039133999999</v>
      </c>
      <c r="H23" s="117">
        <f>IF($A23="","",'Situfin serie mensual'!IZ22)</f>
        <v>218.15102367999998</v>
      </c>
      <c r="I23" s="117">
        <f>IF($A23="","",'Situfin serie mensual'!JA22)</f>
        <v>134.41775599900001</v>
      </c>
      <c r="J23" s="117">
        <f>IF($A23="","",'Situfin serie mensual'!JB22)</f>
        <v>133.323971091</v>
      </c>
      <c r="K23" s="117">
        <f>IF($A23="","",'Situfin serie mensual'!JC22)</f>
        <v>120.56982903500001</v>
      </c>
      <c r="L23" s="117">
        <f>IF($A23="","",'Situfin serie mensual'!JD22)</f>
        <v>0</v>
      </c>
      <c r="M23" s="117">
        <f>IF($A23="","",'Situfin serie mensual'!JE22)</f>
        <v>0</v>
      </c>
      <c r="N23" s="117">
        <f t="shared" si="0"/>
        <v>1277.137730681</v>
      </c>
      <c r="P23" s="10"/>
    </row>
    <row r="24" spans="1:16" s="118" customFormat="1" ht="12.75" x14ac:dyDescent="0.2">
      <c r="A24" s="170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168.69276188400002</v>
      </c>
      <c r="F24" s="117">
        <f>IF($A24="","",'Situfin serie mensual'!IX23)</f>
        <v>155.119391001</v>
      </c>
      <c r="G24" s="117">
        <f>IF($A24="","",'Situfin serie mensual'!IY23)</f>
        <v>115.63039133999999</v>
      </c>
      <c r="H24" s="117">
        <f>IF($A24="","",'Situfin serie mensual'!IZ23)</f>
        <v>218.15102367999998</v>
      </c>
      <c r="I24" s="117">
        <f>IF($A24="","",'Situfin serie mensual'!JA23)</f>
        <v>134.41775599900001</v>
      </c>
      <c r="J24" s="117">
        <f>IF($A24="","",'Situfin serie mensual'!JB23)</f>
        <v>133.323971091</v>
      </c>
      <c r="K24" s="117">
        <f>IF($A24="","",'Situfin serie mensual'!JC23)</f>
        <v>120.56982903500001</v>
      </c>
      <c r="L24" s="117">
        <f>IF($A24="","",'Situfin serie mensual'!JD23)</f>
        <v>0</v>
      </c>
      <c r="M24" s="117">
        <f>IF($A24="","",'Situfin serie mensual'!JE23)</f>
        <v>0</v>
      </c>
      <c r="N24" s="117">
        <f t="shared" si="0"/>
        <v>1277.137730681</v>
      </c>
      <c r="P24" s="10"/>
    </row>
    <row r="25" spans="1:16" s="118" customFormat="1" ht="12.75" x14ac:dyDescent="0.2">
      <c r="A25" s="170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638.06314163599995</v>
      </c>
      <c r="F26" s="115">
        <f>IF($A26="","",'Situfin serie mensual'!IX25)</f>
        <v>598.36852446299997</v>
      </c>
      <c r="G26" s="115">
        <f>IF($A26="","",'Situfin serie mensual'!IY25)</f>
        <v>1373.1038041090003</v>
      </c>
      <c r="H26" s="115">
        <f>IF($A26="","",'Situfin serie mensual'!IZ25)</f>
        <v>566.74934859599989</v>
      </c>
      <c r="I26" s="115">
        <f>IF($A26="","",'Situfin serie mensual'!JA25)</f>
        <v>487.54473241199997</v>
      </c>
      <c r="J26" s="115">
        <f>IF($A26="","",'Situfin serie mensual'!JB25)</f>
        <v>573.1765126040001</v>
      </c>
      <c r="K26" s="115">
        <f>IF($A26="","",'Situfin serie mensual'!JC25)</f>
        <v>628.05923704700001</v>
      </c>
      <c r="L26" s="115">
        <f>IF($A26="","",'Situfin serie mensual'!JD25)</f>
        <v>0</v>
      </c>
      <c r="M26" s="115">
        <f>IF($A26="","",'Situfin serie mensual'!JE25)</f>
        <v>0</v>
      </c>
      <c r="N26" s="115">
        <f t="shared" si="0"/>
        <v>6268.5224247619999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243.67858527300001</v>
      </c>
      <c r="F27" s="117">
        <f>IF($A27="","",'Situfin serie mensual'!IX26)</f>
        <v>174.11222708100001</v>
      </c>
      <c r="G27" s="117">
        <f>IF($A27="","",'Situfin serie mensual'!IY26)</f>
        <v>229.74617377100003</v>
      </c>
      <c r="H27" s="117">
        <f>IF($A27="","",'Situfin serie mensual'!IZ26)</f>
        <v>631.07370862599987</v>
      </c>
      <c r="I27" s="117">
        <f>IF($A27="","",'Situfin serie mensual'!JA26)</f>
        <v>185.457041129</v>
      </c>
      <c r="J27" s="117">
        <f>IF($A27="","",'Situfin serie mensual'!JB26)</f>
        <v>249.57616945699999</v>
      </c>
      <c r="K27" s="117">
        <f>IF($A27="","",'Situfin serie mensual'!JC26)</f>
        <v>197.75372221600003</v>
      </c>
      <c r="L27" s="117">
        <f>IF($A27="","",'Situfin serie mensual'!JD26)</f>
        <v>0</v>
      </c>
      <c r="M27" s="117">
        <f>IF($A27="","",'Situfin serie mensual'!JE26)</f>
        <v>0</v>
      </c>
      <c r="N27" s="117">
        <f t="shared" si="0"/>
        <v>2671.4926459829999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168.53982335500001</v>
      </c>
      <c r="G28" s="117">
        <f>IF($A28="","",'Situfin serie mensual'!IY27)</f>
        <v>162.734087905</v>
      </c>
      <c r="H28" s="117">
        <f>IF($A28="","",'Situfin serie mensual'!IZ27)</f>
        <v>579.475869708</v>
      </c>
      <c r="I28" s="117">
        <f>IF($A28="","",'Situfin serie mensual'!JA27)</f>
        <v>161.26296316400001</v>
      </c>
      <c r="J28" s="117">
        <f>IF($A28="","",'Situfin serie mensual'!JB27)</f>
        <v>223.12356598099998</v>
      </c>
      <c r="K28" s="117">
        <f>IF($A28="","",'Situfin serie mensual'!JC27)</f>
        <v>186.97751721700001</v>
      </c>
      <c r="L28" s="117">
        <f>IF($A28="","",'Situfin serie mensual'!JD27)</f>
        <v>0</v>
      </c>
      <c r="M28" s="117">
        <f>IF($A28="","",'Situfin serie mensual'!JE27)</f>
        <v>0</v>
      </c>
      <c r="N28" s="117">
        <f t="shared" si="0"/>
        <v>2212.3421566689999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65.103584609000009</v>
      </c>
      <c r="F29" s="117">
        <f>IF($A29="","",'Situfin serie mensual'!IX28)</f>
        <v>5.5724037259999895</v>
      </c>
      <c r="G29" s="117">
        <f>IF($A29="","",'Situfin serie mensual'!IY28)</f>
        <v>67.012085866000007</v>
      </c>
      <c r="H29" s="117">
        <f>IF($A29="","",'Situfin serie mensual'!IZ28)</f>
        <v>51.59783891799988</v>
      </c>
      <c r="I29" s="117">
        <f>IF($A29="","",'Situfin serie mensual'!JA28)</f>
        <v>24.194077965000005</v>
      </c>
      <c r="J29" s="117">
        <f>IF($A29="","",'Situfin serie mensual'!JB28)</f>
        <v>26.45260347599999</v>
      </c>
      <c r="K29" s="117">
        <f>IF($A29="","",'Situfin serie mensual'!JC28)</f>
        <v>10.776204999000008</v>
      </c>
      <c r="L29" s="117">
        <f>IF($A29="","",'Situfin serie mensual'!JD28)</f>
        <v>0</v>
      </c>
      <c r="M29" s="117">
        <f>IF($A29="","",'Situfin serie mensual'!JE28)</f>
        <v>0</v>
      </c>
      <c r="N29" s="117">
        <f t="shared" si="0"/>
        <v>459.15048931399991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310.51190464000001</v>
      </c>
      <c r="F30" s="117">
        <f>IF($A30="","",'Situfin serie mensual'!IX29)</f>
        <v>259.43339054299997</v>
      </c>
      <c r="G30" s="117">
        <f>IF($A30="","",'Situfin serie mensual'!IY29)</f>
        <v>1106.8359399480003</v>
      </c>
      <c r="H30" s="117">
        <f>IF($A30="","",'Situfin serie mensual'!IZ29)</f>
        <v>-146.12194007199994</v>
      </c>
      <c r="I30" s="117">
        <f>IF($A30="","",'Situfin serie mensual'!JA29)</f>
        <v>272.71140211099998</v>
      </c>
      <c r="J30" s="117">
        <f>IF($A30="","",'Situfin serie mensual'!JB29)</f>
        <v>290.661406172</v>
      </c>
      <c r="K30" s="117">
        <f>IF($A30="","",'Situfin serie mensual'!JC29)</f>
        <v>386.97880382300008</v>
      </c>
      <c r="L30" s="117">
        <f>IF($A30="","",'Situfin serie mensual'!JD29)</f>
        <v>0</v>
      </c>
      <c r="M30" s="117">
        <f>IF($A30="","",'Situfin serie mensual'!JE29)</f>
        <v>0</v>
      </c>
      <c r="N30" s="117">
        <f t="shared" si="0"/>
        <v>3086.4857710840006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55.440421448000002</v>
      </c>
      <c r="F31" s="117">
        <f>IF($A31="","",'Situfin serie mensual'!IX30)</f>
        <v>107.164288677</v>
      </c>
      <c r="G31" s="117">
        <f>IF($A31="","",'Situfin serie mensual'!IY30)</f>
        <v>975.26797809700008</v>
      </c>
      <c r="H31" s="117">
        <f>IF($A31="","",'Situfin serie mensual'!IZ30)</f>
        <v>-204.16688616400003</v>
      </c>
      <c r="I31" s="117">
        <f>IF($A31="","",'Situfin serie mensual'!JA30)</f>
        <v>149.34711538799999</v>
      </c>
      <c r="J31" s="117">
        <f>IF($A31="","",'Situfin serie mensual'!JB30)</f>
        <v>150.009744474</v>
      </c>
      <c r="K31" s="117">
        <f>IF($A31="","",'Situfin serie mensual'!JC30)</f>
        <v>174.72579599899998</v>
      </c>
      <c r="L31" s="117">
        <f>IF($A31="","",'Situfin serie mensual'!JD30)</f>
        <v>0</v>
      </c>
      <c r="M31" s="117">
        <f>IF($A31="","",'Situfin serie mensual'!JE30)</f>
        <v>0</v>
      </c>
      <c r="N31" s="117">
        <f t="shared" si="0"/>
        <v>1672.2893663319999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255.07148319200002</v>
      </c>
      <c r="F32" s="117">
        <f>IF($A32="","",'Situfin serie mensual'!IX31)</f>
        <v>152.269101866</v>
      </c>
      <c r="G32" s="117">
        <f>IF($A32="","",'Situfin serie mensual'!IY31)</f>
        <v>131.56796185100001</v>
      </c>
      <c r="H32" s="117">
        <f>IF($A32="","",'Situfin serie mensual'!IZ31)</f>
        <v>58.044946092000025</v>
      </c>
      <c r="I32" s="117">
        <f>IF($A32="","",'Situfin serie mensual'!JA31)</f>
        <v>123.36428672300002</v>
      </c>
      <c r="J32" s="117">
        <f>IF($A32="","",'Situfin serie mensual'!JB31)</f>
        <v>140.65166169799997</v>
      </c>
      <c r="K32" s="117">
        <f>IF($A32="","",'Situfin serie mensual'!JC31)</f>
        <v>212.25300782400001</v>
      </c>
      <c r="L32" s="117">
        <f>IF($A32="","",'Situfin serie mensual'!JD31)</f>
        <v>0</v>
      </c>
      <c r="M32" s="117">
        <f>IF($A32="","",'Situfin serie mensual'!JE31)</f>
        <v>0</v>
      </c>
      <c r="N32" s="117">
        <f t="shared" si="0"/>
        <v>1414.196404752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83.872651723000004</v>
      </c>
      <c r="F33" s="117">
        <f>IF($A33="","",'Situfin serie mensual'!IX32)</f>
        <v>164.82290683899998</v>
      </c>
      <c r="G33" s="117">
        <f>IF($A33="","",'Situfin serie mensual'!IY32)</f>
        <v>36.521690390000003</v>
      </c>
      <c r="H33" s="117">
        <f>IF($A33="","",'Situfin serie mensual'!IZ32)</f>
        <v>81.797580041999993</v>
      </c>
      <c r="I33" s="117">
        <f>IF($A33="","",'Situfin serie mensual'!JA32)</f>
        <v>29.376289172</v>
      </c>
      <c r="J33" s="117">
        <f>IF($A33="","",'Situfin serie mensual'!JB32)</f>
        <v>32.938936975000004</v>
      </c>
      <c r="K33" s="117">
        <f>IF($A33="","",'Situfin serie mensual'!JC32)</f>
        <v>43.326711008000004</v>
      </c>
      <c r="L33" s="117">
        <f>IF($A33="","",'Situfin serie mensual'!JD32)</f>
        <v>0</v>
      </c>
      <c r="M33" s="117">
        <f>IF($A33="","",'Situfin serie mensual'!JE32)</f>
        <v>0</v>
      </c>
      <c r="N33" s="117">
        <f t="shared" si="0"/>
        <v>510.544007695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4256.0327050629994</v>
      </c>
      <c r="G35" s="121">
        <f>IF($A35="","",'Situfin serie mensual'!IY34)</f>
        <v>3945.7820394109999</v>
      </c>
      <c r="H35" s="121">
        <f>IF($A35="","",'Situfin serie mensual'!IZ34)</f>
        <v>4471.1842986419997</v>
      </c>
      <c r="I35" s="121">
        <f>IF($A35="","",'Situfin serie mensual'!JA34)</f>
        <v>4343.7660407499998</v>
      </c>
      <c r="J35" s="121">
        <f>IF($A35="","",'Situfin serie mensual'!JB34)</f>
        <v>4538.1459755509995</v>
      </c>
      <c r="K35" s="121">
        <f>IF($A35="","",'Situfin serie mensual'!JC34)</f>
        <v>4308.2376978459997</v>
      </c>
      <c r="L35" s="224">
        <f>IF($A35="","",'Situfin serie mensual'!JD34)</f>
        <v>0</v>
      </c>
      <c r="M35" s="121">
        <f>IF($A35="","",'Situfin serie mensual'!JE34)</f>
        <v>0</v>
      </c>
      <c r="N35" s="121">
        <f t="shared" ref="N35:N70" si="1">+SUM(B35:M35)</f>
        <v>41762.451109065005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1690.3028769899997</v>
      </c>
      <c r="G36" s="115">
        <f>IF($A36="","",'Situfin serie mensual'!IY35)</f>
        <v>1691.5468035640001</v>
      </c>
      <c r="H36" s="115">
        <f>IF($A36="","",'Situfin serie mensual'!IZ35)</f>
        <v>1706.1111985140001</v>
      </c>
      <c r="I36" s="115">
        <f>IF($A36="","",'Situfin serie mensual'!JA35)</f>
        <v>1707.8203446860005</v>
      </c>
      <c r="J36" s="115">
        <f>IF($A36="","",'Situfin serie mensual'!JB35)</f>
        <v>1685.2923286169996</v>
      </c>
      <c r="K36" s="115">
        <f>IF($A36="","",'Situfin serie mensual'!JC35)</f>
        <v>1765.5595074979999</v>
      </c>
      <c r="L36" s="115">
        <f>IF($A36="","",'Situfin serie mensual'!JD35)</f>
        <v>0</v>
      </c>
      <c r="M36" s="115">
        <f>IF($A36="","",'Situfin serie mensual'!JE35)</f>
        <v>0</v>
      </c>
      <c r="N36" s="123">
        <f t="shared" si="1"/>
        <v>16861.446120454999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450.68079886999999</v>
      </c>
      <c r="G37" s="115">
        <f>IF($A37="","",'Situfin serie mensual'!IY36)</f>
        <v>568.08199191200003</v>
      </c>
      <c r="H37" s="115">
        <f>IF($A37="","",'Situfin serie mensual'!IZ36)</f>
        <v>725.03368756300017</v>
      </c>
      <c r="I37" s="115">
        <f>IF($A37="","",'Situfin serie mensual'!JA36)</f>
        <v>557.12618810099991</v>
      </c>
      <c r="J37" s="115">
        <f>IF($A37="","",'Situfin serie mensual'!JB36)</f>
        <v>451.16078686299994</v>
      </c>
      <c r="K37" s="115">
        <f>IF($A37="","",'Situfin serie mensual'!JC36)</f>
        <v>513.89825842400001</v>
      </c>
      <c r="L37" s="115">
        <f>IF($A37="","",'Situfin serie mensual'!JD36)</f>
        <v>0</v>
      </c>
      <c r="M37" s="115">
        <f>IF($A37="","",'Situfin serie mensual'!JE36)</f>
        <v>0</v>
      </c>
      <c r="N37" s="115">
        <f t="shared" si="1"/>
        <v>5542.5519850600003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157.41184339600002</v>
      </c>
      <c r="G38" s="117">
        <f>IF($A38="","",'Situfin serie mensual'!IY37)</f>
        <v>157.09179426199998</v>
      </c>
      <c r="H38" s="117">
        <f>IF($A38="","",'Situfin serie mensual'!IZ37)</f>
        <v>177.784648624</v>
      </c>
      <c r="I38" s="117">
        <f>IF($A38="","",'Situfin serie mensual'!JA37)</f>
        <v>128.96081648399999</v>
      </c>
      <c r="J38" s="117">
        <f>IF($A38="","",'Situfin serie mensual'!JB37)</f>
        <v>168.88602928099999</v>
      </c>
      <c r="K38" s="117">
        <f>IF($A38="","",'Situfin serie mensual'!JC37)</f>
        <v>141.86096733800002</v>
      </c>
      <c r="L38" s="117">
        <f>IF($A38="","",'Situfin serie mensual'!JD37)</f>
        <v>0</v>
      </c>
      <c r="M38" s="117">
        <f>IF($A38="","",'Situfin serie mensual'!JE37)</f>
        <v>0</v>
      </c>
      <c r="N38" s="117">
        <f t="shared" si="1"/>
        <v>1442.0469946620001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277.962228122</v>
      </c>
      <c r="G39" s="117">
        <f>IF($A39="","",'Situfin serie mensual'!IY38)</f>
        <v>394.06017859399998</v>
      </c>
      <c r="H39" s="117">
        <f>IF($A39="","",'Situfin serie mensual'!IZ38)</f>
        <v>528.53461606700012</v>
      </c>
      <c r="I39" s="117">
        <f>IF($A39="","",'Situfin serie mensual'!JA38)</f>
        <v>428.10862439899995</v>
      </c>
      <c r="J39" s="117">
        <f>IF($A39="","",'Situfin serie mensual'!JB38)</f>
        <v>275.10900165099997</v>
      </c>
      <c r="K39" s="117">
        <f>IF($A39="","",'Situfin serie mensual'!JC38)</f>
        <v>367.98672191799994</v>
      </c>
      <c r="L39" s="117">
        <f>IF($A39="","",'Situfin serie mensual'!JD38)</f>
        <v>0</v>
      </c>
      <c r="M39" s="117">
        <f>IF($A39="","",'Situfin serie mensual'!JE38)</f>
        <v>0</v>
      </c>
      <c r="N39" s="117">
        <f t="shared" si="1"/>
        <v>3911.0582763520001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15.274920249000001</v>
      </c>
      <c r="G40" s="117">
        <f>IF($A40="","",'Situfin serie mensual'!IY39)</f>
        <v>16.930019056000003</v>
      </c>
      <c r="H40" s="117">
        <f>IF($A40="","",'Situfin serie mensual'!IZ39)</f>
        <v>18.711742499</v>
      </c>
      <c r="I40" s="117">
        <f>IF($A40="","",'Situfin serie mensual'!JA39)</f>
        <v>6.3784499999999995E-4</v>
      </c>
      <c r="J40" s="117">
        <f>IF($A40="","",'Situfin serie mensual'!JB39)</f>
        <v>7.1611099310000004</v>
      </c>
      <c r="K40" s="117">
        <f>IF($A40="","",'Situfin serie mensual'!JC39)</f>
        <v>4.0436001680000002</v>
      </c>
      <c r="L40" s="117">
        <f>IF($A40="","",'Situfin serie mensual'!JD39)</f>
        <v>0</v>
      </c>
      <c r="M40" s="117">
        <f>IF($A40="","",'Situfin serie mensual'!JE39)</f>
        <v>0</v>
      </c>
      <c r="N40" s="117">
        <f t="shared" si="1"/>
        <v>73.441790615999992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3.1807102999999184E-2</v>
      </c>
      <c r="G41" s="117">
        <f>IF($A41="","",'Situfin serie mensual'!IY40)</f>
        <v>0</v>
      </c>
      <c r="H41" s="117">
        <f>IF($A41="","",'Situfin serie mensual'!IZ40)</f>
        <v>2.6803729999810458E-3</v>
      </c>
      <c r="I41" s="117">
        <f>IF($A41="","",'Situfin serie mensual'!JA40)</f>
        <v>5.6109372999984773E-2</v>
      </c>
      <c r="J41" s="117">
        <f>IF($A41="","",'Situfin serie mensual'!JB40)</f>
        <v>4.6459999999497086E-3</v>
      </c>
      <c r="K41" s="117">
        <f>IF($A41="","",'Situfin serie mensual'!JC40)</f>
        <v>6.969000000040978E-3</v>
      </c>
      <c r="L41" s="117">
        <f>IF($A41="","",'Situfin serie mensual'!JD40)</f>
        <v>0</v>
      </c>
      <c r="M41" s="117">
        <f>IF($A41="","",'Situfin serie mensual'!JE40)</f>
        <v>0</v>
      </c>
      <c r="N41" s="117">
        <f t="shared" si="1"/>
        <v>116.00492343000012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692.53967024899998</v>
      </c>
      <c r="G42" s="115">
        <f>IF($A42="","",'Situfin serie mensual'!IY41)</f>
        <v>323.50525333399997</v>
      </c>
      <c r="H42" s="115">
        <f>IF($A42="","",'Situfin serie mensual'!IZ41)</f>
        <v>240.085125874</v>
      </c>
      <c r="I42" s="115">
        <f>IF($A42="","",'Situfin serie mensual'!JA41)</f>
        <v>679.79433824400007</v>
      </c>
      <c r="J42" s="115">
        <f>IF($A42="","",'Situfin serie mensual'!JB41)</f>
        <v>975.22943245500005</v>
      </c>
      <c r="K42" s="115">
        <f>IF($A42="","",'Situfin serie mensual'!JC41)</f>
        <v>510.86191037000003</v>
      </c>
      <c r="L42" s="115">
        <f>IF($A42="","",'Situfin serie mensual'!JD41)</f>
        <v>0</v>
      </c>
      <c r="M42" s="115">
        <f>IF($A42="","",'Situfin serie mensual'!JE41)</f>
        <v>0</v>
      </c>
      <c r="N42" s="115">
        <f t="shared" si="1"/>
        <v>5405.9356512510003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670.49544323099997</v>
      </c>
      <c r="G43" s="117">
        <f>IF($A43="","",'Situfin serie mensual'!IY42)</f>
        <v>286.46463208399996</v>
      </c>
      <c r="H43" s="117">
        <f>IF($A43="","",'Situfin serie mensual'!IZ42)</f>
        <v>240.085125874</v>
      </c>
      <c r="I43" s="117">
        <f>IF($A43="","",'Situfin serie mensual'!JA42)</f>
        <v>487.09394343700001</v>
      </c>
      <c r="J43" s="117">
        <f>IF($A43="","",'Situfin serie mensual'!JB42)</f>
        <v>942.96172910400003</v>
      </c>
      <c r="K43" s="117">
        <f>IF($A43="","",'Situfin serie mensual'!JC42)</f>
        <v>483.81297246000003</v>
      </c>
      <c r="L43" s="117">
        <f>IF($A43="","",'Situfin serie mensual'!JD42)</f>
        <v>0</v>
      </c>
      <c r="M43" s="117">
        <f>IF($A43="","",'Situfin serie mensual'!JE42)</f>
        <v>0</v>
      </c>
      <c r="N43" s="117">
        <f t="shared" si="1"/>
        <v>4879.8196121990004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22.044227018000001</v>
      </c>
      <c r="G44" s="117">
        <f>IF($A44="","",'Situfin serie mensual'!IY43)</f>
        <v>37.040621249999994</v>
      </c>
      <c r="H44" s="117">
        <f>IF($A44="","",'Situfin serie mensual'!IZ43)</f>
        <v>0</v>
      </c>
      <c r="I44" s="117">
        <f>IF($A44="","",'Situfin serie mensual'!JA43)</f>
        <v>192.70039480700001</v>
      </c>
      <c r="J44" s="117">
        <f>IF($A44="","",'Situfin serie mensual'!JB43)</f>
        <v>32.267703351000002</v>
      </c>
      <c r="K44" s="117">
        <f>IF($A44="","",'Situfin serie mensual'!JC43)</f>
        <v>27.048937909999999</v>
      </c>
      <c r="L44" s="117">
        <f>IF($A44="","",'Situfin serie mensual'!JD43)</f>
        <v>0</v>
      </c>
      <c r="M44" s="117">
        <f>IF($A44="","",'Situfin serie mensual'!JE43)</f>
        <v>0</v>
      </c>
      <c r="N44" s="117">
        <f t="shared" si="1"/>
        <v>526.11603905200002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412.23324842499994</v>
      </c>
      <c r="G46" s="115">
        <f>IF($A46="","",'Situfin serie mensual'!IY45)</f>
        <v>425.65938595200004</v>
      </c>
      <c r="H46" s="115">
        <f>IF($A46="","",'Situfin serie mensual'!IZ45)</f>
        <v>870.29515321299994</v>
      </c>
      <c r="I46" s="115">
        <f>IF($A46="","",'Situfin serie mensual'!JA45)</f>
        <v>469.895018376</v>
      </c>
      <c r="J46" s="115">
        <f>IF($A46="","",'Situfin serie mensual'!JB45)</f>
        <v>518.09065131800003</v>
      </c>
      <c r="K46" s="115">
        <f>IF($A46="","",'Situfin serie mensual'!JC45)</f>
        <v>502.85846869099998</v>
      </c>
      <c r="L46" s="115">
        <f>IF($A46="","",'Situfin serie mensual'!JD45)</f>
        <v>0</v>
      </c>
      <c r="M46" s="115">
        <f>IF($A46="","",'Situfin serie mensual'!JE45)</f>
        <v>0</v>
      </c>
      <c r="N46" s="115">
        <f t="shared" si="1"/>
        <v>4825.4764732869999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15.717472501</v>
      </c>
      <c r="G50" s="117">
        <f>IF($A50="","",'Situfin serie mensual'!IY49)</f>
        <v>1.5524617490000001</v>
      </c>
      <c r="H50" s="117">
        <f>IF($A50="","",'Situfin serie mensual'!IZ49)</f>
        <v>6.3208455700000004</v>
      </c>
      <c r="I50" s="117">
        <f>IF($A50="","",'Situfin serie mensual'!JA49)</f>
        <v>0.71384452300000001</v>
      </c>
      <c r="J50" s="117">
        <f>IF($A50="","",'Situfin serie mensual'!JB49)</f>
        <v>1.09919173</v>
      </c>
      <c r="K50" s="117">
        <f>IF($A50="","",'Situfin serie mensual'!JC49)</f>
        <v>3.978452576</v>
      </c>
      <c r="L50" s="117">
        <f>IF($A50="","",'Situfin serie mensual'!JD49)</f>
        <v>0</v>
      </c>
      <c r="M50" s="117">
        <f>IF($A50="","",'Situfin serie mensual'!JE49)</f>
        <v>0</v>
      </c>
      <c r="N50" s="117">
        <f t="shared" si="1"/>
        <v>40.749618337000001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15.717472501</v>
      </c>
      <c r="G51" s="117">
        <f>IF($A51="","",'Situfin serie mensual'!IY50)</f>
        <v>1.5524617490000001</v>
      </c>
      <c r="H51" s="117">
        <f>IF($A51="","",'Situfin serie mensual'!IZ50)</f>
        <v>6.3208455700000004</v>
      </c>
      <c r="I51" s="117">
        <f>IF($A51="","",'Situfin serie mensual'!JA50)</f>
        <v>0.71384452300000001</v>
      </c>
      <c r="J51" s="117">
        <f>IF($A51="","",'Situfin serie mensual'!JB50)</f>
        <v>1.09919173</v>
      </c>
      <c r="K51" s="117">
        <f>IF($A51="","",'Situfin serie mensual'!JC50)</f>
        <v>3.978452576</v>
      </c>
      <c r="L51" s="117">
        <f>IF($A51="","",'Situfin serie mensual'!JD50)</f>
        <v>0</v>
      </c>
      <c r="M51" s="117">
        <f>IF($A51="","",'Situfin serie mensual'!JE50)</f>
        <v>0</v>
      </c>
      <c r="N51" s="117">
        <f t="shared" si="1"/>
        <v>40.749618337000001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396.51577592399997</v>
      </c>
      <c r="G53" s="117">
        <f>IF($A53="","",'Situfin serie mensual'!IY52)</f>
        <v>424.10692420300006</v>
      </c>
      <c r="H53" s="117">
        <f>IF($A53="","",'Situfin serie mensual'!IZ52)</f>
        <v>863.97430764299997</v>
      </c>
      <c r="I53" s="117">
        <f>IF($A53="","",'Situfin serie mensual'!JA52)</f>
        <v>469.18117385300002</v>
      </c>
      <c r="J53" s="117">
        <f>IF($A53="","",'Situfin serie mensual'!JB52)</f>
        <v>516.991459588</v>
      </c>
      <c r="K53" s="117">
        <f>IF($A53="","",'Situfin serie mensual'!JC52)</f>
        <v>498.88001611499999</v>
      </c>
      <c r="L53" s="117">
        <f>IF($A53="","",'Situfin serie mensual'!JD52)</f>
        <v>0</v>
      </c>
      <c r="M53" s="117">
        <f>IF($A53="","",'Situfin serie mensual'!JE52)</f>
        <v>0</v>
      </c>
      <c r="N53" s="117">
        <f t="shared" si="1"/>
        <v>4784.7268549500004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299.83299377099996</v>
      </c>
      <c r="G54" s="117">
        <f>IF($A54="","",'Situfin serie mensual'!IY53)</f>
        <v>290.89957685900004</v>
      </c>
      <c r="H54" s="117">
        <f>IF($A54="","",'Situfin serie mensual'!IZ53)</f>
        <v>418.64382420099997</v>
      </c>
      <c r="I54" s="117">
        <f>IF($A54="","",'Situfin serie mensual'!JA53)</f>
        <v>336.096041415</v>
      </c>
      <c r="J54" s="117">
        <f>IF($A54="","",'Situfin serie mensual'!JB53)</f>
        <v>348.22216657600001</v>
      </c>
      <c r="K54" s="117">
        <f>IF($A54="","",'Situfin serie mensual'!JC53)</f>
        <v>350.89598977899999</v>
      </c>
      <c r="L54" s="117">
        <f>IF($A54="","",'Situfin serie mensual'!JD53)</f>
        <v>0</v>
      </c>
      <c r="M54" s="117">
        <f>IF($A54="","",'Situfin serie mensual'!JE53)</f>
        <v>0</v>
      </c>
      <c r="N54" s="117">
        <f t="shared" si="1"/>
        <v>3180.3310828909998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96.682782152999991</v>
      </c>
      <c r="G55" s="117">
        <f>IF($A55="","",'Situfin serie mensual'!IY54)</f>
        <v>133.207347344</v>
      </c>
      <c r="H55" s="117">
        <f>IF($A55="","",'Situfin serie mensual'!IZ54)</f>
        <v>445.330483442</v>
      </c>
      <c r="I55" s="117">
        <f>IF($A55="","",'Situfin serie mensual'!JA54)</f>
        <v>133.08513243799999</v>
      </c>
      <c r="J55" s="117">
        <f>IF($A55="","",'Situfin serie mensual'!JB54)</f>
        <v>168.76929301199999</v>
      </c>
      <c r="K55" s="117">
        <f>IF($A55="","",'Situfin serie mensual'!JC54)</f>
        <v>147.984026336</v>
      </c>
      <c r="L55" s="117">
        <f>IF($A55="","",'Situfin serie mensual'!JD54)</f>
        <v>0</v>
      </c>
      <c r="M55" s="117">
        <f>IF($A55="","",'Situfin serie mensual'!JE54)</f>
        <v>0</v>
      </c>
      <c r="N55" s="117">
        <f t="shared" si="1"/>
        <v>1604.3957720589999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740.19488153200007</v>
      </c>
      <c r="G56" s="115">
        <f>IF($A56="","",'Situfin serie mensual'!IY55)</f>
        <v>744.65206402299998</v>
      </c>
      <c r="H56" s="115">
        <f>IF($A56="","",'Situfin serie mensual'!IZ55)</f>
        <v>749.37541258599992</v>
      </c>
      <c r="I56" s="115">
        <f>IF($A56="","",'Situfin serie mensual'!JA55)</f>
        <v>743.09611486999995</v>
      </c>
      <c r="J56" s="115">
        <f>IF($A56="","",'Situfin serie mensual'!JB55)</f>
        <v>764.41963660299996</v>
      </c>
      <c r="K56" s="115">
        <f>IF($A56="","",'Situfin serie mensual'!JC55)</f>
        <v>798.26868409099995</v>
      </c>
      <c r="L56" s="115">
        <f>IF($A56="","",'Situfin serie mensual'!JD55)</f>
        <v>0</v>
      </c>
      <c r="M56" s="115">
        <f>IF($A56="","",'Situfin serie mensual'!JE55)</f>
        <v>0</v>
      </c>
      <c r="N56" s="115">
        <f t="shared" si="1"/>
        <v>7483.5057972169989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431.94042629299997</v>
      </c>
      <c r="G57" s="117">
        <f>IF($A57="","",'Situfin serie mensual'!IY56)</f>
        <v>426.96554845999998</v>
      </c>
      <c r="H57" s="117">
        <f>IF($A57="","",'Situfin serie mensual'!IZ56)</f>
        <v>445.96629593199998</v>
      </c>
      <c r="I57" s="117">
        <f>IF($A57="","",'Situfin serie mensual'!JA56)</f>
        <v>449.09443202099993</v>
      </c>
      <c r="J57" s="117">
        <f>IF($A57="","",'Situfin serie mensual'!JB56)</f>
        <v>451.13063009699999</v>
      </c>
      <c r="K57" s="117">
        <f>IF($A57="","",'Situfin serie mensual'!JC56)</f>
        <v>456.52747720900004</v>
      </c>
      <c r="L57" s="117">
        <f>IF($A57="","",'Situfin serie mensual'!JD56)</f>
        <v>0</v>
      </c>
      <c r="M57" s="117">
        <f>IF($A57="","",'Situfin serie mensual'!JE56)</f>
        <v>0</v>
      </c>
      <c r="N57" s="117">
        <f t="shared" si="1"/>
        <v>4399.0060762819994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281.50389901900002</v>
      </c>
      <c r="G58" s="117">
        <f>IF($A58="","",'Situfin serie mensual'!IY57)</f>
        <v>293.55045695999996</v>
      </c>
      <c r="H58" s="117">
        <f>IF($A58="","",'Situfin serie mensual'!IZ57)</f>
        <v>277.41823741799999</v>
      </c>
      <c r="I58" s="117">
        <f>IF($A58="","",'Situfin serie mensual'!JA57)</f>
        <v>270.03846093800001</v>
      </c>
      <c r="J58" s="117">
        <f>IF($A58="","",'Situfin serie mensual'!JB57)</f>
        <v>288.84409488699998</v>
      </c>
      <c r="K58" s="117">
        <f>IF($A58="","",'Situfin serie mensual'!JC57)</f>
        <v>316.39361742</v>
      </c>
      <c r="L58" s="117">
        <f>IF($A58="","",'Situfin serie mensual'!JD57)</f>
        <v>0</v>
      </c>
      <c r="M58" s="117">
        <f>IF($A58="","",'Situfin serie mensual'!JE57)</f>
        <v>0</v>
      </c>
      <c r="N58" s="117">
        <f t="shared" si="1"/>
        <v>2813.802487207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26.75055622</v>
      </c>
      <c r="G59" s="117">
        <f>IF($A59="","",'Situfin serie mensual'!IY58)</f>
        <v>24.136058603000002</v>
      </c>
      <c r="H59" s="117">
        <f>IF($A59="","",'Situfin serie mensual'!IZ58)</f>
        <v>25.990879236000001</v>
      </c>
      <c r="I59" s="117">
        <f>IF($A59="","",'Situfin serie mensual'!JA58)</f>
        <v>23.963221911000002</v>
      </c>
      <c r="J59" s="117">
        <f>IF($A59="","",'Situfin serie mensual'!JB58)</f>
        <v>24.444911619000003</v>
      </c>
      <c r="K59" s="117">
        <f>IF($A59="","",'Situfin serie mensual'!JC58)</f>
        <v>25.347589461999998</v>
      </c>
      <c r="L59" s="117">
        <f>IF($A59="","",'Situfin serie mensual'!JD58)</f>
        <v>0</v>
      </c>
      <c r="M59" s="117">
        <f>IF($A59="","",'Situfin serie mensual'!JE58)</f>
        <v>0</v>
      </c>
      <c r="N59" s="117">
        <f t="shared" si="1"/>
        <v>270.69723372800001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270.08122899700004</v>
      </c>
      <c r="G60" s="115">
        <f>IF($A60="","",'Situfin serie mensual'!IY59)</f>
        <v>192.33654062599999</v>
      </c>
      <c r="H60" s="115">
        <f>IF($A60="","",'Situfin serie mensual'!IZ59)</f>
        <v>180.28372089200002</v>
      </c>
      <c r="I60" s="115">
        <f>IF($A60="","",'Situfin serie mensual'!JA59)</f>
        <v>186.03403647300001</v>
      </c>
      <c r="J60" s="115">
        <f>IF($A60="","",'Situfin serie mensual'!JB59)</f>
        <v>143.953139695</v>
      </c>
      <c r="K60" s="115">
        <f>IF($A60="","",'Situfin serie mensual'!JC59)</f>
        <v>216.79086877200001</v>
      </c>
      <c r="L60" s="115">
        <f>IF($A60="","",'Situfin serie mensual'!JD59)</f>
        <v>0</v>
      </c>
      <c r="M60" s="115">
        <f>IF($A60="","",'Situfin serie mensual'!JE59)</f>
        <v>0</v>
      </c>
      <c r="N60" s="115">
        <f t="shared" si="1"/>
        <v>1643.5350817950002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129.05403566500001</v>
      </c>
      <c r="G61" s="117">
        <f>IF($A61="","",'Situfin serie mensual'!IY60)</f>
        <v>69.665342180999986</v>
      </c>
      <c r="H61" s="117">
        <f>IF($A61="","",'Situfin serie mensual'!IZ60)</f>
        <v>117.82658553100001</v>
      </c>
      <c r="I61" s="117">
        <f>IF($A61="","",'Situfin serie mensual'!JA60)</f>
        <v>110.63926989300001</v>
      </c>
      <c r="J61" s="117">
        <f>IF($A61="","",'Situfin serie mensual'!JB60)</f>
        <v>42.102533298000012</v>
      </c>
      <c r="K61" s="117">
        <f>IF($A61="","",'Situfin serie mensual'!JC60)</f>
        <v>78.474091732000005</v>
      </c>
      <c r="L61" s="117">
        <f>IF($A61="","",'Situfin serie mensual'!JD60)</f>
        <v>0</v>
      </c>
      <c r="M61" s="117">
        <f>IF($A61="","",'Situfin serie mensual'!JE60)</f>
        <v>0</v>
      </c>
      <c r="N61" s="117">
        <f t="shared" si="1"/>
        <v>707.07297622300007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20.842849130999998</v>
      </c>
      <c r="G62" s="117">
        <f>IF($A62="","",'Situfin serie mensual'!IY61)</f>
        <v>31.968753273999997</v>
      </c>
      <c r="H62" s="117">
        <f>IF($A62="","",'Situfin serie mensual'!IZ61)</f>
        <v>36.931859482</v>
      </c>
      <c r="I62" s="117">
        <f>IF($A62="","",'Situfin serie mensual'!JA61)</f>
        <v>8.6597728509999996</v>
      </c>
      <c r="J62" s="117">
        <f>IF($A62="","",'Situfin serie mensual'!JB61)</f>
        <v>2.842391852</v>
      </c>
      <c r="K62" s="117">
        <f>IF($A62="","",'Situfin serie mensual'!JC61)</f>
        <v>39.455628385999994</v>
      </c>
      <c r="L62" s="117">
        <f>IF($A62="","",'Situfin serie mensual'!JD61)</f>
        <v>0</v>
      </c>
      <c r="M62" s="117">
        <f>IF($A62="","",'Situfin serie mensual'!JE61)</f>
        <v>0</v>
      </c>
      <c r="N62" s="117">
        <f t="shared" si="1"/>
        <v>165.86619190799999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31.992113463999999</v>
      </c>
      <c r="G63" s="117">
        <f>IF($A63="","",'Situfin serie mensual'!IY62)</f>
        <v>11.433426416999998</v>
      </c>
      <c r="H63" s="117">
        <f>IF($A63="","",'Situfin serie mensual'!IZ62)</f>
        <v>29.400120528999999</v>
      </c>
      <c r="I63" s="117">
        <f>IF($A63="","",'Situfin serie mensual'!JA62)</f>
        <v>33.653365161000004</v>
      </c>
      <c r="J63" s="117">
        <f>IF($A63="","",'Situfin serie mensual'!JB62)</f>
        <v>20.083155403999999</v>
      </c>
      <c r="K63" s="117">
        <f>IF($A63="","",'Situfin serie mensual'!JC62)</f>
        <v>19.449719883</v>
      </c>
      <c r="L63" s="117">
        <f>IF($A63="","",'Situfin serie mensual'!JD62)</f>
        <v>0</v>
      </c>
      <c r="M63" s="117">
        <f>IF($A63="","",'Situfin serie mensual'!JE62)</f>
        <v>0</v>
      </c>
      <c r="N63" s="117">
        <f t="shared" si="1"/>
        <v>186.99612967799999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2.8170425000000012</v>
      </c>
      <c r="G64" s="117">
        <f>IF($A64="","",'Situfin serie mensual'!IY63)</f>
        <v>0.05</v>
      </c>
      <c r="H64" s="117">
        <f>IF($A64="","",'Situfin serie mensual'!IZ63)</f>
        <v>3.0372508649999999</v>
      </c>
      <c r="I64" s="117">
        <f>IF($A64="","",'Situfin serie mensual'!JA63)</f>
        <v>0.42238947999999998</v>
      </c>
      <c r="J64" s="117">
        <f>IF($A64="","",'Situfin serie mensual'!JB63)</f>
        <v>1.912616622</v>
      </c>
      <c r="K64" s="117">
        <f>IF($A64="","",'Situfin serie mensual'!JC63)</f>
        <v>0.12609000000000015</v>
      </c>
      <c r="L64" s="117">
        <f>IF($A64="","",'Situfin serie mensual'!JD63)</f>
        <v>0</v>
      </c>
      <c r="M64" s="117">
        <f>IF($A64="","",'Situfin serie mensual'!JE63)</f>
        <v>0</v>
      </c>
      <c r="N64" s="117">
        <f t="shared" si="1"/>
        <v>10.441925940999999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70.02083778299999</v>
      </c>
      <c r="G65" s="117">
        <f>IF($A65="","",'Situfin serie mensual'!IY64)</f>
        <v>23.189010666999998</v>
      </c>
      <c r="H65" s="117">
        <f>IF($A65="","",'Situfin serie mensual'!IZ64)</f>
        <v>45.361161967999998</v>
      </c>
      <c r="I65" s="117">
        <f>IF($A65="","",'Situfin serie mensual'!JA64)</f>
        <v>63.852549713999998</v>
      </c>
      <c r="J65" s="117">
        <f>IF($A65="","",'Situfin serie mensual'!JB64)</f>
        <v>14.708176733</v>
      </c>
      <c r="K65" s="117">
        <f>IF($A65="","",'Situfin serie mensual'!JC64)</f>
        <v>16.926460775999999</v>
      </c>
      <c r="L65" s="117">
        <f>IF($A65="","",'Situfin serie mensual'!JD64)</f>
        <v>0</v>
      </c>
      <c r="M65" s="117">
        <f>IF($A65="","",'Situfin serie mensual'!JE64)</f>
        <v>0</v>
      </c>
      <c r="N65" s="117">
        <f t="shared" si="1"/>
        <v>312.19084268900002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3.3811927869999998</v>
      </c>
      <c r="G66" s="117">
        <f>IF($A66="","",'Situfin serie mensual'!IY65)</f>
        <v>3.024151823</v>
      </c>
      <c r="H66" s="117">
        <f>IF($A66="","",'Situfin serie mensual'!IZ65)</f>
        <v>3.0961926870000003</v>
      </c>
      <c r="I66" s="117">
        <f>IF($A66="","",'Situfin serie mensual'!JA65)</f>
        <v>4.0511926870000003</v>
      </c>
      <c r="J66" s="117">
        <f>IF($A66="","",'Situfin serie mensual'!JB65)</f>
        <v>2.5561926870000002</v>
      </c>
      <c r="K66" s="117">
        <f>IF($A66="","",'Situfin serie mensual'!JC65)</f>
        <v>2.5161926870000002</v>
      </c>
      <c r="L66" s="117">
        <f>IF($A66="","",'Situfin serie mensual'!JD65)</f>
        <v>0</v>
      </c>
      <c r="M66" s="117">
        <f>IF($A66="","",'Situfin serie mensual'!JE65)</f>
        <v>0</v>
      </c>
      <c r="N66" s="117">
        <f t="shared" si="1"/>
        <v>31.577886007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141.027193332</v>
      </c>
      <c r="G67" s="117">
        <f>IF($A67="","",'Situfin serie mensual'!IY66)</f>
        <v>122.67119844499999</v>
      </c>
      <c r="H67" s="117">
        <f>IF($A67="","",'Situfin serie mensual'!IZ66)</f>
        <v>62.457135361000006</v>
      </c>
      <c r="I67" s="117">
        <f>IF($A67="","",'Situfin serie mensual'!JA66)</f>
        <v>75.394766579999995</v>
      </c>
      <c r="J67" s="117">
        <f>IF($A67="","",'Situfin serie mensual'!JB66)</f>
        <v>101.85060639699999</v>
      </c>
      <c r="K67" s="117">
        <f>IF($A67="","",'Situfin serie mensual'!JC66)</f>
        <v>138.31677704000001</v>
      </c>
      <c r="L67" s="117">
        <f>IF($A67="","",'Situfin serie mensual'!JD66)</f>
        <v>0</v>
      </c>
      <c r="M67" s="117">
        <f>IF($A67="","",'Situfin serie mensual'!JE66)</f>
        <v>0</v>
      </c>
      <c r="N67" s="117">
        <f t="shared" si="1"/>
        <v>936.46210557200004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141.027193332</v>
      </c>
      <c r="G68" s="117">
        <f>IF($A68="","",'Situfin serie mensual'!IY67)</f>
        <v>122.67119844499999</v>
      </c>
      <c r="H68" s="117">
        <f>IF($A68="","",'Situfin serie mensual'!IZ67)</f>
        <v>62.457135361000006</v>
      </c>
      <c r="I68" s="117">
        <f>IF($A68="","",'Situfin serie mensual'!JA67)</f>
        <v>75.394766579999995</v>
      </c>
      <c r="J68" s="117">
        <f>IF($A68="","",'Situfin serie mensual'!JB67)</f>
        <v>101.85060639699999</v>
      </c>
      <c r="K68" s="117">
        <f>IF($A68="","",'Situfin serie mensual'!JC67)</f>
        <v>138.31677704000001</v>
      </c>
      <c r="L68" s="117">
        <f>IF($A68="","",'Situfin serie mensual'!JD67)</f>
        <v>0</v>
      </c>
      <c r="M68" s="117">
        <f>IF($A68="","",'Situfin serie mensual'!JE67)</f>
        <v>0</v>
      </c>
      <c r="N68" s="117">
        <f t="shared" si="1"/>
        <v>936.46210557200004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0</v>
      </c>
      <c r="M70" s="117">
        <f>IF($A70="","",'Situfin serie mensual'!JE69)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1123.5998421269996</v>
      </c>
      <c r="F72" s="125">
        <f>IF($A72="","",'Situfin serie mensual'!IX71)</f>
        <v>1144.9855842650004</v>
      </c>
      <c r="G72" s="125">
        <f>IF($A72="","",'Situfin serie mensual'!IY71)</f>
        <v>450.90408300599984</v>
      </c>
      <c r="H72" s="125">
        <f>IF($A72="","",'Situfin serie mensual'!IZ71)</f>
        <v>272.70787805200052</v>
      </c>
      <c r="I72" s="125">
        <f>IF($A72="","",'Situfin serie mensual'!JA71)</f>
        <v>-812.31715226200004</v>
      </c>
      <c r="J72" s="125">
        <f>IF($A72="","",'Situfin serie mensual'!JB71)</f>
        <v>-106.94508122999923</v>
      </c>
      <c r="K72" s="125">
        <f>IF($A72="","",'Situfin serie mensual'!JC71)</f>
        <v>-326.44021209199991</v>
      </c>
      <c r="L72" s="125">
        <f>IF($A72="","",'Situfin serie mensual'!JD71)</f>
        <v>0</v>
      </c>
      <c r="M72" s="125">
        <f>IF($A72="","",'Situfin serie mensual'!JE71)</f>
        <v>0</v>
      </c>
      <c r="N72" s="125">
        <f>+SUM(B72:M72)</f>
        <v>457.47082543200258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508.08560216199999</v>
      </c>
      <c r="G75" s="115">
        <f>IF($A75="","",'Situfin serie mensual'!IY74)</f>
        <v>529.7948712650001</v>
      </c>
      <c r="H75" s="115">
        <f>IF($A75="","",'Situfin serie mensual'!IZ74)</f>
        <v>715.2767886649998</v>
      </c>
      <c r="I75" s="115">
        <f>IF($A75="","",'Situfin serie mensual'!JA74)</f>
        <v>645.81966667200004</v>
      </c>
      <c r="J75" s="115">
        <f>IF($A75="","",'Situfin serie mensual'!JB74)</f>
        <v>538.2603576869999</v>
      </c>
      <c r="K75" s="115">
        <f>IF($A75="","",'Situfin serie mensual'!JC74)</f>
        <v>588.54177369600006</v>
      </c>
      <c r="L75" s="115">
        <f>IF($A75="","",'Situfin serie mensual'!JD74)</f>
        <v>0</v>
      </c>
      <c r="M75" s="115">
        <f>IF($A75="","",'Situfin serie mensual'!JE74)</f>
        <v>0</v>
      </c>
      <c r="N75" s="115">
        <f>+SUM(B75:M75)</f>
        <v>4829.5173940140003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499.62814789699996</v>
      </c>
      <c r="G76" s="117">
        <f>IF($A76="","",'Situfin serie mensual'!IY75)</f>
        <v>473.88904741100009</v>
      </c>
      <c r="H76" s="117">
        <f>IF($A76="","",'Situfin serie mensual'!IZ75)</f>
        <v>714.07327816199984</v>
      </c>
      <c r="I76" s="117">
        <f>IF($A76="","",'Situfin serie mensual'!JA75)</f>
        <v>511.73482078400002</v>
      </c>
      <c r="J76" s="117">
        <f>IF($A76="","",'Situfin serie mensual'!JB75)</f>
        <v>534.61586540099995</v>
      </c>
      <c r="K76" s="117">
        <f>IF($A76="","",'Situfin serie mensual'!JC75)</f>
        <v>582.8297692220001</v>
      </c>
      <c r="L76" s="117">
        <f>IF($A76="","",'Situfin serie mensual'!JD75)</f>
        <v>0</v>
      </c>
      <c r="M76" s="117">
        <f>IF($A76="","",'Situfin serie mensual'!JE75)</f>
        <v>0</v>
      </c>
      <c r="N76" s="117">
        <f>+SUM(B76:M76)</f>
        <v>4531.5181662970008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8.4574542649999991</v>
      </c>
      <c r="G77" s="117">
        <f>IF($A77="","",'Situfin serie mensual'!IY76)</f>
        <v>4.8409505489999995</v>
      </c>
      <c r="H77" s="117">
        <f>IF($A77="","",'Situfin serie mensual'!IZ76)</f>
        <v>1.203510503</v>
      </c>
      <c r="I77" s="117">
        <f>IF($A77="","",'Situfin serie mensual'!JA76)</f>
        <v>7.0126755730000001</v>
      </c>
      <c r="J77" s="117">
        <f>IF($A77="","",'Situfin serie mensual'!JB76)</f>
        <v>3.6444922860000002</v>
      </c>
      <c r="K77" s="117">
        <f>IF($A77="","",'Situfin serie mensual'!JC76)</f>
        <v>5.7120044740000004</v>
      </c>
      <c r="L77" s="117">
        <f>IF($A77="","",'Situfin serie mensual'!JD76)</f>
        <v>0</v>
      </c>
      <c r="M77" s="117">
        <f>IF($A77="","",'Situfin serie mensual'!JE76)</f>
        <v>0</v>
      </c>
      <c r="N77" s="117">
        <f>+SUM(B77:M77)</f>
        <v>55.305925408999997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51.064873304999999</v>
      </c>
      <c r="H78" s="117">
        <f>IF($A78="","",'Situfin serie mensual'!IZ77)</f>
        <v>0</v>
      </c>
      <c r="I78" s="117">
        <f>IF($A78="","",'Situfin serie mensual'!JA77)</f>
        <v>127.07217031499999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242.693302308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510.6599702029996</v>
      </c>
      <c r="F79" s="130">
        <f>IF($A79="","",'Situfin serie mensual'!IX78)</f>
        <v>636.89998210300041</v>
      </c>
      <c r="G79" s="130">
        <f>IF($A79="","",'Situfin serie mensual'!IY78)</f>
        <v>-78.89078825900026</v>
      </c>
      <c r="H79" s="130">
        <f>IF($A79="","",'Situfin serie mensual'!IZ78)</f>
        <v>-442.56891061299928</v>
      </c>
      <c r="I79" s="130">
        <f>IF($A79="","",'Situfin serie mensual'!JA78)</f>
        <v>-1458.1368189340001</v>
      </c>
      <c r="J79" s="130">
        <f>IF($A79="","",'Situfin serie mensual'!JB78)</f>
        <v>-645.20543891699913</v>
      </c>
      <c r="K79" s="130">
        <f>IF($A79="","",'Situfin serie mensual'!JC78)</f>
        <v>-914.98198578799997</v>
      </c>
      <c r="L79" s="130">
        <f>IF($A79="","",'Situfin serie mensual'!JD78)</f>
        <v>0</v>
      </c>
      <c r="M79" s="130">
        <f>IF($A79="","",'Situfin serie mensual'!JE78)</f>
        <v>0</v>
      </c>
      <c r="N79" s="130">
        <f>+SUM(B79:M79)</f>
        <v>-4372.0465685819981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-2780.3319370007994</v>
      </c>
      <c r="E83" s="115">
        <f>IF($A83="","",'Situfin serie mensual'!IW82)</f>
        <v>1032.9323695654336</v>
      </c>
      <c r="F83" s="115">
        <f>IF($A83="","",'Situfin serie mensual'!IX82)</f>
        <v>1521.62250532751</v>
      </c>
      <c r="G83" s="115">
        <f>IF($A83="","",'Situfin serie mensual'!IY82)</f>
        <v>1196.9125215232857</v>
      </c>
      <c r="H83" s="115">
        <f>IF($A83="","",'Situfin serie mensual'!IZ82)</f>
        <v>-312.96146151344402</v>
      </c>
      <c r="I83" s="115">
        <f>IF($A83="","",'Situfin serie mensual'!JA82)</f>
        <v>35.242732589000013</v>
      </c>
      <c r="J83" s="115">
        <f>IF($A83="","",'Situfin serie mensual'!JB82)</f>
        <v>-83.342422724999992</v>
      </c>
      <c r="K83" s="115">
        <f>IF($A83="","",'Situfin serie mensual'!JC82)</f>
        <v>-135.06231028100001</v>
      </c>
      <c r="L83" s="115">
        <f>IF($A83="","",'Situfin serie mensual'!JD82)</f>
        <v>0</v>
      </c>
      <c r="M83" s="115">
        <f>IF($A83="","",'Situfin serie mensual'!JE82)</f>
        <v>0</v>
      </c>
      <c r="N83" s="115">
        <f>+SUM(B83:M83)</f>
        <v>6144.1344678257956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-2780.3319370007994</v>
      </c>
      <c r="E84" s="117">
        <f>IF($A84="","",'Situfin serie mensual'!IW83)</f>
        <v>1032.9323695654336</v>
      </c>
      <c r="F84" s="117">
        <f>IF($A84="","",'Situfin serie mensual'!IX83)</f>
        <v>1521.62250532751</v>
      </c>
      <c r="G84" s="117">
        <f>IF($A84="","",'Situfin serie mensual'!IY83)</f>
        <v>1196.9125215232857</v>
      </c>
      <c r="H84" s="117">
        <f>IF($A84="","",'Situfin serie mensual'!IZ83)</f>
        <v>-312.96146151344402</v>
      </c>
      <c r="I84" s="117">
        <f>IF($A84="","",'Situfin serie mensual'!JA83)</f>
        <v>35.242732589000013</v>
      </c>
      <c r="J84" s="117">
        <f>IF($A84="","",'Situfin serie mensual'!JB83)</f>
        <v>-83.342422724999992</v>
      </c>
      <c r="K84" s="117">
        <f>IF($A84="","",'Situfin serie mensual'!JC83)</f>
        <v>-135.06231028100001</v>
      </c>
      <c r="L84" s="117">
        <f>IF($A84="","",'Situfin serie mensual'!JD83)</f>
        <v>0</v>
      </c>
      <c r="M84" s="117">
        <f>IF($A84="","",'Situfin serie mensual'!JE83)</f>
        <v>0</v>
      </c>
      <c r="N84" s="117">
        <f t="shared" ref="N84:N95" si="2">+SUM(B84:M84)</f>
        <v>6144.1344678257956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-555.6078134679999</v>
      </c>
      <c r="E86" s="115">
        <f>IF($A86="","",'Situfin serie mensual'!IW85)</f>
        <v>1146.1299144889999</v>
      </c>
      <c r="F86" s="115">
        <f>IF($A86="","",'Situfin serie mensual'!IX85)</f>
        <v>1505.7304167899997</v>
      </c>
      <c r="G86" s="115">
        <f>IF($A86="","",'Situfin serie mensual'!IY85)</f>
        <v>909.80212153999992</v>
      </c>
      <c r="H86" s="115">
        <f>IF($A86="","",'Situfin serie mensual'!IZ85)</f>
        <v>700.220311907</v>
      </c>
      <c r="I86" s="115">
        <f>IF($A86="","",'Situfin serie mensual'!JA85)</f>
        <v>44.507139940999934</v>
      </c>
      <c r="J86" s="115">
        <f>IF($A86="","",'Situfin serie mensual'!JB85)</f>
        <v>63.479896642999933</v>
      </c>
      <c r="K86" s="115">
        <f>IF($A86="","",'Situfin serie mensual'!JC85)</f>
        <v>1544.811302957</v>
      </c>
      <c r="L86" s="115">
        <f>IF($A86="","",'Situfin serie mensual'!JD85)</f>
        <v>0</v>
      </c>
      <c r="M86" s="115">
        <f>IF($A86="","",'Situfin serie mensual'!JE85)</f>
        <v>0</v>
      </c>
      <c r="N86" s="115">
        <f t="shared" si="2"/>
        <v>8094.9206332269987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-16.420111705</v>
      </c>
      <c r="E87" s="117">
        <f>IF($A87="","",'Situfin serie mensual'!IW86)</f>
        <v>1129.139421227</v>
      </c>
      <c r="F87" s="117">
        <f>IF($A87="","",'Situfin serie mensual'!IX86)</f>
        <v>-144.92893577900003</v>
      </c>
      <c r="G87" s="117">
        <f>IF($A87="","",'Situfin serie mensual'!IY86)</f>
        <v>480.85150161499996</v>
      </c>
      <c r="H87" s="117">
        <f>IF($A87="","",'Situfin serie mensual'!IZ86)</f>
        <v>507.08930101099998</v>
      </c>
      <c r="I87" s="117">
        <f>IF($A87="","",'Situfin serie mensual'!JA86)</f>
        <v>-350.34723871900007</v>
      </c>
      <c r="J87" s="117">
        <f>IF($A87="","",'Situfin serie mensual'!JB86)</f>
        <v>308.91826010599999</v>
      </c>
      <c r="K87" s="117">
        <f>IF($A87="","",'Situfin serie mensual'!JC86)</f>
        <v>-1.20844237</v>
      </c>
      <c r="L87" s="117">
        <f>IF($A87="","",'Situfin serie mensual'!JD86)</f>
        <v>0</v>
      </c>
      <c r="M87" s="117">
        <f>IF($A87="","",'Situfin serie mensual'!JE86)</f>
        <v>0</v>
      </c>
      <c r="N87" s="117">
        <f t="shared" si="2"/>
        <v>-1883.7311968380004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1650.6593525689998</v>
      </c>
      <c r="G88" s="117">
        <f>IF($A88="","",'Situfin serie mensual'!IY87)</f>
        <v>428.95061992499996</v>
      </c>
      <c r="H88" s="117">
        <f>IF($A88="","",'Situfin serie mensual'!IZ87)</f>
        <v>193.13101089599999</v>
      </c>
      <c r="I88" s="117">
        <f>IF($A88="","",'Situfin serie mensual'!JA87)</f>
        <v>394.85437866000001</v>
      </c>
      <c r="J88" s="117">
        <f>IF($A88="","",'Situfin serie mensual'!JB87)</f>
        <v>-245.43836346300006</v>
      </c>
      <c r="K88" s="117">
        <f>IF($A88="","",'Situfin serie mensual'!JC87)</f>
        <v>1546.019745327</v>
      </c>
      <c r="L88" s="117">
        <f>IF($A88="","",'Situfin serie mensual'!JD87)</f>
        <v>0</v>
      </c>
      <c r="M88" s="117">
        <f>IF($A88="","",'Situfin serie mensual'!JE87)</f>
        <v>0</v>
      </c>
      <c r="N88" s="117">
        <f t="shared" si="2"/>
        <v>9978.6518300649986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-16.344111705</v>
      </c>
      <c r="E90" s="115">
        <f>IF($A90="","",'Situfin serie mensual'!IW89)</f>
        <v>244.05842122700003</v>
      </c>
      <c r="F90" s="115">
        <f>IF($A90="","",'Situfin serie mensual'!IX89)</f>
        <v>-118.41265638</v>
      </c>
      <c r="G90" s="115">
        <f>IF($A90="","",'Situfin serie mensual'!IY89)</f>
        <v>187.35150161499999</v>
      </c>
      <c r="H90" s="115">
        <f>IF($A90="","",'Situfin serie mensual'!IZ89)</f>
        <v>520.62089835799998</v>
      </c>
      <c r="I90" s="115">
        <f>IF($A90="","",'Situfin serie mensual'!JA89)</f>
        <v>-332.959770107</v>
      </c>
      <c r="J90" s="115">
        <f>IF($A90="","",'Situfin serie mensual'!JB89)</f>
        <v>87.170381070999994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-3208.6821158540001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-16.344111705</v>
      </c>
      <c r="E91" s="132">
        <f>IF($A91="","",'Situfin serie mensual'!IW90)</f>
        <v>244.05842122700003</v>
      </c>
      <c r="F91" s="132">
        <f>IF($A91="","",'Situfin serie mensual'!IX90)</f>
        <v>-118.41265638</v>
      </c>
      <c r="G91" s="132">
        <f>IF($A91="","",'Situfin serie mensual'!IY90)</f>
        <v>187.35150161499999</v>
      </c>
      <c r="H91" s="132">
        <f>IF($A91="","",'Situfin serie mensual'!IZ90)</f>
        <v>520.62089835799998</v>
      </c>
      <c r="I91" s="132">
        <f>IF($A91="","",'Situfin serie mensual'!JA90)</f>
        <v>-332.959770107</v>
      </c>
      <c r="J91" s="132">
        <f>IF($A91="","",'Situfin serie mensual'!JB90)</f>
        <v>87.170381070999994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2275.945141745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-2779.1760796167996</v>
      </c>
      <c r="E94" s="134">
        <f>IF($A94="","",'Situfin serie mensual'!IW93)</f>
        <v>1001.2231447584336</v>
      </c>
      <c r="F94" s="134">
        <f>IF($A94="","",'Situfin serie mensual'!IX93)</f>
        <v>1492.8002479745101</v>
      </c>
      <c r="G94" s="134">
        <f>IF($A94="","",'Situfin serie mensual'!IY93)</f>
        <v>1154.5796204132857</v>
      </c>
      <c r="H94" s="134">
        <f>IF($A94="","",'Situfin serie mensual'!IZ93)</f>
        <v>-311.73213025844404</v>
      </c>
      <c r="I94" s="134">
        <f>IF($A94="","",'Situfin serie mensual'!JA93)</f>
        <v>0</v>
      </c>
      <c r="J94" s="134">
        <f>IF($A94="","",'Situfin serie mensual'!JB93)</f>
        <v>0</v>
      </c>
      <c r="K94" s="134">
        <f>IF($A94="","",'Situfin serie mensual'!JC93)</f>
        <v>0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5951.8518627447938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-2779.1760796167996</v>
      </c>
      <c r="E95" s="132">
        <f>IF($A95="","",'Situfin serie mensual'!IW94)</f>
        <v>1001.2231447584336</v>
      </c>
      <c r="F95" s="132">
        <f>IF($A95="","",'Situfin serie mensual'!IX94)</f>
        <v>1492.8002479745101</v>
      </c>
      <c r="G95" s="132">
        <f>IF($A95="","",'Situfin serie mensual'!IY94)</f>
        <v>1154.5796204132857</v>
      </c>
      <c r="H95" s="132">
        <f>IF($A95="","",'Situfin serie mensual'!IZ94)</f>
        <v>-311.73213025844404</v>
      </c>
      <c r="I95" s="132">
        <f>IF($A95="","",'Situfin serie mensual'!JA94)</f>
        <v>0</v>
      </c>
      <c r="J95" s="132">
        <f>IF($A95="","",'Situfin serie mensual'!JB94)</f>
        <v>0</v>
      </c>
      <c r="K95" s="132">
        <f>IF($A95="","",'Situfin serie mensual'!JC94)</f>
        <v>0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5951.8518627447938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56.009409626799652</v>
      </c>
      <c r="E97" s="134">
        <f>IF($A97="","",'Situfin serie mensual'!IW96)</f>
        <v>623.85751512656589</v>
      </c>
      <c r="F97" s="134">
        <f>IF($A97="","",'Situfin serie mensual'!IX96)</f>
        <v>621.00789356549012</v>
      </c>
      <c r="G97" s="134">
        <f>IF($A97="","",'Situfin serie mensual'!IY96)</f>
        <v>-366.00118824228593</v>
      </c>
      <c r="H97" s="134">
        <f>IF($A97="","",'Situfin serie mensual'!IZ96)</f>
        <v>570.6128628074448</v>
      </c>
      <c r="I97" s="134">
        <f>IF($A97="","",'Situfin serie mensual'!JA96)</f>
        <v>-1448.8724115820003</v>
      </c>
      <c r="J97" s="134">
        <f>IF($A97="","",'Situfin serie mensual'!JB96)</f>
        <v>-498.38311954899916</v>
      </c>
      <c r="K97" s="134">
        <f>IF($A97="","",'Situfin serie mensual'!JC96)</f>
        <v>764.89162744999999</v>
      </c>
      <c r="L97" s="134">
        <f>IF($A97="","",'Situfin serie mensual'!JD96)</f>
        <v>0</v>
      </c>
      <c r="M97" s="134">
        <f>IF($A97="","",'Situfin serie mensual'!JE96)</f>
        <v>0</v>
      </c>
      <c r="N97" s="115">
        <f>+SUM(B97:M97)</f>
        <v>-2421.2604031807941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12" t="s">
        <v>190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07"/>
      <c r="P99" s="207"/>
    </row>
    <row r="100" spans="1:16" x14ac:dyDescent="0.2">
      <c r="A100" s="207" t="s">
        <v>191</v>
      </c>
      <c r="B100" s="209">
        <f>B35-B49-B52-B55-B67-B42</f>
        <v>2611.5491690860003</v>
      </c>
      <c r="C100" s="209">
        <f t="shared" ref="C100:M100" si="3">C35-C49-C52-C55-C67-C42</f>
        <v>3084.7871149109997</v>
      </c>
      <c r="D100" s="209">
        <f t="shared" si="3"/>
        <v>4011.0284479069996</v>
      </c>
      <c r="E100" s="209">
        <f t="shared" si="3"/>
        <v>3433.9365634220007</v>
      </c>
      <c r="F100" s="209">
        <f t="shared" si="3"/>
        <v>3325.783059329</v>
      </c>
      <c r="G100" s="209">
        <f t="shared" si="3"/>
        <v>3366.3982402880001</v>
      </c>
      <c r="H100" s="209">
        <f t="shared" si="3"/>
        <v>3723.3115539649998</v>
      </c>
      <c r="I100" s="209">
        <f t="shared" si="3"/>
        <v>3455.4918034880002</v>
      </c>
      <c r="J100" s="209">
        <f t="shared" si="3"/>
        <v>3292.2966436869992</v>
      </c>
      <c r="K100" s="209">
        <f t="shared" si="3"/>
        <v>3511.0749840999997</v>
      </c>
      <c r="L100" s="209">
        <f t="shared" si="3"/>
        <v>0</v>
      </c>
      <c r="M100" s="209">
        <f t="shared" si="3"/>
        <v>0</v>
      </c>
      <c r="N100" s="117">
        <f t="shared" ref="N100:N101" si="4">+SUM(B100:M100)</f>
        <v>33815.657580182997</v>
      </c>
      <c r="O100" s="207"/>
      <c r="P100" s="207"/>
    </row>
    <row r="101" spans="1:16" x14ac:dyDescent="0.2">
      <c r="A101" s="207" t="s">
        <v>92</v>
      </c>
      <c r="B101" s="209">
        <f>B79+B42</f>
        <v>1028.0393381970002</v>
      </c>
      <c r="C101" s="209">
        <f t="shared" ref="C101:M101" si="5">C79+C42</f>
        <v>-252.22155629299948</v>
      </c>
      <c r="D101" s="209">
        <f t="shared" si="5"/>
        <v>-1244.7772629939998</v>
      </c>
      <c r="E101" s="209">
        <f t="shared" si="5"/>
        <v>983.71679364099964</v>
      </c>
      <c r="F101" s="209">
        <f t="shared" si="5"/>
        <v>1329.4396523520004</v>
      </c>
      <c r="G101" s="209">
        <f t="shared" si="5"/>
        <v>244.61446507499971</v>
      </c>
      <c r="H101" s="209">
        <f t="shared" si="5"/>
        <v>-202.48378473899928</v>
      </c>
      <c r="I101" s="209">
        <f t="shared" si="5"/>
        <v>-778.34248069</v>
      </c>
      <c r="J101" s="209">
        <f t="shared" si="5"/>
        <v>330.02399353800092</v>
      </c>
      <c r="K101" s="209">
        <f t="shared" si="5"/>
        <v>-404.12007541799994</v>
      </c>
      <c r="L101" s="209">
        <f t="shared" si="5"/>
        <v>0</v>
      </c>
      <c r="M101" s="209">
        <f t="shared" si="5"/>
        <v>0</v>
      </c>
      <c r="N101" s="117">
        <f t="shared" si="4"/>
        <v>1033.8890826690026</v>
      </c>
      <c r="O101" s="207"/>
      <c r="P101" s="207"/>
    </row>
    <row r="102" spans="1:16" ht="9" customHeight="1" x14ac:dyDescent="0.2">
      <c r="A102" s="214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8"/>
      <c r="O102" s="207"/>
      <c r="P102" s="207"/>
    </row>
    <row r="103" spans="1:16" ht="16.5" x14ac:dyDescent="0.3">
      <c r="A103" s="173" t="s">
        <v>186</v>
      </c>
      <c r="B103" s="207"/>
      <c r="C103" s="207"/>
      <c r="D103" s="207"/>
      <c r="E103" s="207"/>
      <c r="F103" s="153"/>
      <c r="G103" s="207"/>
      <c r="H103" s="207"/>
      <c r="I103" s="210"/>
      <c r="J103" s="207"/>
      <c r="K103" s="207"/>
      <c r="L103" s="207"/>
      <c r="M103" s="207"/>
      <c r="N103" s="207"/>
      <c r="O103" s="207"/>
      <c r="P103" s="207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  <mergeCell ref="K8:K9"/>
    <mergeCell ref="L8:L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79"/>
  <sheetViews>
    <sheetView showGridLines="0" topLeftCell="O24" workbookViewId="0">
      <selection activeCell="T39" sqref="T39"/>
    </sheetView>
  </sheetViews>
  <sheetFormatPr baseColWidth="10" defaultColWidth="11.5703125" defaultRowHeight="15" x14ac:dyDescent="0.25"/>
  <cols>
    <col min="1" max="1" width="17.5703125" bestFit="1" customWidth="1"/>
    <col min="2" max="2" width="32.140625" bestFit="1" customWidth="1"/>
    <col min="3" max="3" width="21.7109375" bestFit="1" customWidth="1"/>
    <col min="4" max="4" width="11" bestFit="1" customWidth="1"/>
    <col min="5" max="5" width="9.7109375" bestFit="1" customWidth="1"/>
    <col min="6" max="6" width="11.7109375" bestFit="1" customWidth="1"/>
    <col min="7" max="7" width="10.7109375" bestFit="1" customWidth="1"/>
    <col min="8" max="8" width="20.42578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209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-782.1626504096696</v>
      </c>
      <c r="C4" s="66">
        <v>37.256037420498274</v>
      </c>
      <c r="S4" t="s">
        <v>120</v>
      </c>
      <c r="T4" s="66">
        <f>VLOOKUP(MAX(A4:A9),$A$4:$B$9,2,0)</f>
        <v>-577.08148076989391</v>
      </c>
      <c r="U4" s="66">
        <f>VLOOKUP(MAX(A4:A9)-1,$A$4:$B$9,2,0)</f>
        <v>-785.98281590857448</v>
      </c>
      <c r="V4" s="182"/>
    </row>
    <row r="5" spans="1:22" x14ac:dyDescent="0.25">
      <c r="A5" s="68">
        <v>2022</v>
      </c>
      <c r="B5" s="66">
        <v>-667.74091580073821</v>
      </c>
      <c r="C5" s="66">
        <v>253.32412175510069</v>
      </c>
      <c r="S5" t="s">
        <v>121</v>
      </c>
      <c r="T5" s="183">
        <f>VLOOKUP(MAX(A14:A19),$A$14:$B$19,2,0)/100</f>
        <v>-1.3146228978333317E-2</v>
      </c>
      <c r="U5" s="183">
        <f>(VLOOKUP(MAX(A14:A19)-1,$A$14:$B$19,2,0))/100</f>
        <v>-1.8236462548461521E-2</v>
      </c>
      <c r="V5" s="182"/>
    </row>
    <row r="6" spans="1:22" x14ac:dyDescent="0.25">
      <c r="A6" s="68">
        <v>2023</v>
      </c>
      <c r="B6" s="66">
        <v>-785.98281590857448</v>
      </c>
      <c r="C6" s="66">
        <v>-101.61703744800811</v>
      </c>
      <c r="S6" t="s">
        <v>192</v>
      </c>
      <c r="T6" s="222">
        <f>VLOOKUP(MAX($G$54:$G$145),$G$54:$J$145,4,0)</f>
        <v>-1545.9408960096612</v>
      </c>
      <c r="U6" s="222">
        <f>VLOOKUP(MAX($G$54:$G$145)-1,$G$54:$J$145,4,0)</f>
        <v>-1327.2101307152409</v>
      </c>
      <c r="V6" s="182"/>
    </row>
    <row r="7" spans="1:22" x14ac:dyDescent="0.25">
      <c r="A7" s="68">
        <v>2024</v>
      </c>
      <c r="B7" s="66">
        <v>-577.08148076989391</v>
      </c>
      <c r="C7" s="66">
        <v>62.129946465495678</v>
      </c>
      <c r="S7" t="s">
        <v>122</v>
      </c>
      <c r="T7" s="183">
        <f>(VLOOKUP(MAX(A54:A139),$A$54:$E$139,5,0))/100</f>
        <v>-3.5881525998340325E-2</v>
      </c>
      <c r="U7" s="183">
        <f>(VLOOKUP(MAX(A54:A139)-1,$A$54:$E$139,5,0))/100</f>
        <v>-3.1594073671405466E-2</v>
      </c>
      <c r="V7" s="182"/>
    </row>
    <row r="8" spans="1:22" x14ac:dyDescent="0.25">
      <c r="S8" t="s">
        <v>174</v>
      </c>
      <c r="T8" s="183">
        <f>ABS(VLOOKUP(MAX(M55:M142),$M$55:$Q$142,5,0))/100</f>
        <v>2.7512430408810672E-3</v>
      </c>
      <c r="U8" s="183">
        <f>ABS(VLOOKUP(MAX(M55:M142)-1,$M$55:$Q$142,5,0))/100</f>
        <v>3.1692712053633314E-3</v>
      </c>
      <c r="V8" s="182"/>
    </row>
    <row r="9" spans="1:22" x14ac:dyDescent="0.25">
      <c r="S9" t="s">
        <v>175</v>
      </c>
      <c r="T9" s="184">
        <f>VLOOKUP(MAX(A4:A9),$A$4:$C$9,3,0)</f>
        <v>62.129946465495678</v>
      </c>
      <c r="U9" s="184">
        <f>VLOOKUP(MAX(A4:A9)-1,$A$4:$C$9,3,0)</f>
        <v>-101.61703744800811</v>
      </c>
      <c r="V9" s="182"/>
    </row>
    <row r="10" spans="1:22" x14ac:dyDescent="0.25">
      <c r="S10" t="s">
        <v>177</v>
      </c>
      <c r="T10" s="183">
        <f>VLOOKUP(MAX(A14:A19),$A$14:$C$19,3,0)/100</f>
        <v>1.3755608792581553E-3</v>
      </c>
      <c r="U10" s="183">
        <f>VLOOKUP(MAX(A14:A19)-1,$A$14:$C$19,3,0)/100</f>
        <v>-2.3641376994446139E-3</v>
      </c>
      <c r="V10" s="182"/>
    </row>
    <row r="11" spans="1:22" x14ac:dyDescent="0.25">
      <c r="A11" s="67" t="s">
        <v>67</v>
      </c>
      <c r="B11" t="s">
        <v>209</v>
      </c>
      <c r="S11" t="s">
        <v>194</v>
      </c>
      <c r="T11" s="222">
        <f>VLOOKUP(MAX($G$54:$G$145),$G$54:$J$145,3,0)</f>
        <v>-459.36068521543223</v>
      </c>
      <c r="U11" s="222">
        <f>VLOOKUP(MAX($G$54:$G$145)-1,$G$54:$J$145,3,0)</f>
        <v>-368.80430546293633</v>
      </c>
      <c r="V11" s="182"/>
    </row>
    <row r="12" spans="1:22" x14ac:dyDescent="0.25">
      <c r="S12" t="s">
        <v>183</v>
      </c>
      <c r="T12" s="183">
        <f>(VLOOKUP(MAX(A54:A139),$A$54:$E$139,3,0))/100</f>
        <v>-1.0836119148792098E-2</v>
      </c>
      <c r="U12" s="183">
        <f>(VLOOKUP(MAX(A54:A139)-1,$A$54:$E$139,3,0))/100</f>
        <v>-8.9701093779861844E-3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42219.921934496997</v>
      </c>
      <c r="U13" s="66">
        <f>VLOOKUP(MAX(A24:A29)-1,$A$24:$H$29,2,0)</f>
        <v>35951.210686268008</v>
      </c>
      <c r="V13" s="190">
        <f>(IFERROR(T13/U13-1,0))</f>
        <v>0.17436718064750445</v>
      </c>
    </row>
    <row r="14" spans="1:22" ht="15.75" x14ac:dyDescent="0.25">
      <c r="A14" s="68">
        <v>2021</v>
      </c>
      <c r="B14" s="66">
        <v>-1.950467457998474</v>
      </c>
      <c r="C14" s="66">
        <v>9.8409648267647837E-2</v>
      </c>
      <c r="S14" t="s">
        <v>84</v>
      </c>
      <c r="T14" s="66">
        <f>VLOOKUP(MAX(A24:A29),$A$24:$H$29,3,0)</f>
        <v>31757.824714815</v>
      </c>
      <c r="U14" s="66">
        <f>VLOOKUP(MAX(A24:A29)-1,$A$24:$H$29,3,0)</f>
        <v>26265.764973057005</v>
      </c>
      <c r="V14" s="189">
        <f>IFERROR(T14/U14-1,0)</f>
        <v>0.20909574677880727</v>
      </c>
    </row>
    <row r="15" spans="1:22" ht="15.75" x14ac:dyDescent="0.25">
      <c r="A15" s="68">
        <v>2022</v>
      </c>
      <c r="B15" s="66">
        <v>-1.5978625782493776</v>
      </c>
      <c r="C15" s="66">
        <v>0.58734698009438657</v>
      </c>
      <c r="S15" t="s">
        <v>85</v>
      </c>
      <c r="T15" s="66">
        <f>VLOOKUP(MAX(A24:A29),$A$24:$H$29,4,0)</f>
        <v>2701.7181166680002</v>
      </c>
      <c r="U15" s="66">
        <f>VLOOKUP(MAX(A24:A29)-1,$A$24:$H$29,4,0)</f>
        <v>3141.151965479</v>
      </c>
      <c r="V15" s="189">
        <f t="shared" ref="V15:V32" si="0">IFERROR(T15/U15-1,0)</f>
        <v>-0.13989576233189016</v>
      </c>
    </row>
    <row r="16" spans="1:22" ht="15.75" x14ac:dyDescent="0.25">
      <c r="A16" s="68">
        <v>2023</v>
      </c>
      <c r="B16" s="66">
        <v>-1.8236462548461521</v>
      </c>
      <c r="C16" s="66">
        <v>-0.23641376994446137</v>
      </c>
      <c r="S16" t="s">
        <v>86</v>
      </c>
      <c r="T16" s="66">
        <f>VLOOKUP(MAX(A24:A29),$A$24:$H$29,5,0)</f>
        <v>1491.8566782520002</v>
      </c>
      <c r="U16" s="66">
        <f>VLOOKUP(MAX(A24:A29)-1,$A$24:$H$29,5,0)</f>
        <v>1269.848324431</v>
      </c>
      <c r="V16" s="189">
        <f t="shared" si="0"/>
        <v>0.17483060736444944</v>
      </c>
    </row>
    <row r="17" spans="1:22" ht="15.75" x14ac:dyDescent="0.25">
      <c r="A17" s="68">
        <v>2024</v>
      </c>
      <c r="B17" s="66">
        <v>-1.3146228978333316</v>
      </c>
      <c r="C17" s="66">
        <v>0.13755608792581553</v>
      </c>
      <c r="S17" t="s">
        <v>87</v>
      </c>
      <c r="T17" s="66">
        <f>VLOOKUP(MAX(A24:A29),$A$24:$H$29,4,0)</f>
        <v>2701.7181166680002</v>
      </c>
      <c r="U17" s="66">
        <f>VLOOKUP(MAX(A24:A29)-1,$A$24:$H$29,4,0)</f>
        <v>3141.151965479</v>
      </c>
      <c r="V17" s="189">
        <f t="shared" si="0"/>
        <v>-0.13989576233189016</v>
      </c>
    </row>
    <row r="18" spans="1:22" ht="15.75" x14ac:dyDescent="0.25">
      <c r="S18" t="s">
        <v>11</v>
      </c>
      <c r="T18" s="66">
        <f>VLOOKUP(MAX(A24:A29),$A$24:$H$29,5,0)</f>
        <v>1491.8566782520002</v>
      </c>
      <c r="U18" s="66">
        <f>VLOOKUP(MAX(A24:A29)-1,$A$24:$H$29,5,0)</f>
        <v>1269.848324431</v>
      </c>
      <c r="V18" s="189">
        <f t="shared" si="0"/>
        <v>0.17483060736444944</v>
      </c>
    </row>
    <row r="19" spans="1:22" ht="15.75" x14ac:dyDescent="0.25">
      <c r="S19" t="s">
        <v>88</v>
      </c>
      <c r="T19" s="66">
        <f>VLOOKUP(MAX(A24:A29),$A$24:$H$29,6,0)</f>
        <v>6268.5224247620008</v>
      </c>
      <c r="U19" s="66">
        <f>VLOOKUP(MAX(A24:A29)-1,$A$24:$H$29,6,0)</f>
        <v>5274.445423301001</v>
      </c>
      <c r="V19" s="189">
        <f t="shared" si="0"/>
        <v>0.18847043085694848</v>
      </c>
    </row>
    <row r="20" spans="1:22" ht="15.75" x14ac:dyDescent="0.25">
      <c r="S20" t="s">
        <v>123</v>
      </c>
      <c r="T20" s="66">
        <f>VLOOKUP(MAX(A34:A39),$A$34:$H$39,2,0)</f>
        <v>41762.451109064998</v>
      </c>
      <c r="U20" s="66">
        <f>VLOOKUP(MAX(A34:A39)-1,$A$34:$H$39,2,0)</f>
        <v>36691.410209965004</v>
      </c>
      <c r="V20" s="190">
        <f t="shared" si="0"/>
        <v>0.13820784946888609</v>
      </c>
    </row>
    <row r="21" spans="1:22" ht="15.75" x14ac:dyDescent="0.25">
      <c r="A21" s="67" t="s">
        <v>67</v>
      </c>
      <c r="B21" t="s">
        <v>209</v>
      </c>
      <c r="S21" t="s">
        <v>89</v>
      </c>
      <c r="T21" s="66">
        <f>VLOOKUP(MAX(A34:A39),$A$34:$H$39,3,0)</f>
        <v>16861.446120455003</v>
      </c>
      <c r="U21" s="66">
        <f>VLOOKUP(MAX(A34:A39)-1,$A$34:$H$39,3,0)</f>
        <v>15713.799465618002</v>
      </c>
      <c r="V21" s="189">
        <f t="shared" si="0"/>
        <v>7.3034319761307032E-2</v>
      </c>
    </row>
    <row r="22" spans="1:22" ht="15.75" x14ac:dyDescent="0.25">
      <c r="S22" t="s">
        <v>90</v>
      </c>
      <c r="T22" s="66">
        <f>VLOOKUP(MAX(A34:A39),$A$34:$H$39,4,0)</f>
        <v>5542.5519850599985</v>
      </c>
      <c r="U22" s="66">
        <f>VLOOKUP(MAX(A34:A39)-1,$A$34:$H$39,4,0)</f>
        <v>3996.2142258019999</v>
      </c>
      <c r="V22" s="189">
        <f t="shared" si="0"/>
        <v>0.38695066677704548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5405.9356512509994</v>
      </c>
      <c r="U23" s="66">
        <f>VLOOKUP(MAX(A34:A39)-1,$A$34:$H$39,5,0)</f>
        <v>4202.9338944379997</v>
      </c>
      <c r="V23" s="189">
        <f t="shared" si="0"/>
        <v>0.28622904547820882</v>
      </c>
    </row>
    <row r="24" spans="1:22" ht="15.75" x14ac:dyDescent="0.25">
      <c r="A24" s="68">
        <v>2021</v>
      </c>
      <c r="B24" s="66">
        <v>29979.153973218003</v>
      </c>
      <c r="C24" s="66">
        <v>21559.487729484001</v>
      </c>
      <c r="D24" s="66">
        <v>2360.7657756180001</v>
      </c>
      <c r="E24" s="66">
        <v>1373.966559903</v>
      </c>
      <c r="F24" s="66">
        <v>4684.933908213</v>
      </c>
      <c r="S24" t="s">
        <v>11</v>
      </c>
      <c r="T24" s="66">
        <f>VLOOKUP(MAX(A34:A39),$A$34:$H$39,6,0)</f>
        <v>4825.4764732869999</v>
      </c>
      <c r="U24" s="66">
        <f>VLOOKUP(MAX(A34:A39)-1,$A$34:$H$39,6,0)</f>
        <v>4102.7912753170003</v>
      </c>
      <c r="V24" s="189">
        <f t="shared" si="0"/>
        <v>0.17614476327805928</v>
      </c>
    </row>
    <row r="25" spans="1:22" ht="15.75" x14ac:dyDescent="0.25">
      <c r="A25" s="68">
        <v>2022</v>
      </c>
      <c r="B25" s="66">
        <v>33858.936548304002</v>
      </c>
      <c r="C25" s="66">
        <v>24954.905227272</v>
      </c>
      <c r="D25" s="66">
        <v>3104.1732648820002</v>
      </c>
      <c r="E25" s="66">
        <v>1109.539629956</v>
      </c>
      <c r="F25" s="66">
        <v>4690.3184261940005</v>
      </c>
      <c r="S25" t="s">
        <v>91</v>
      </c>
      <c r="T25" s="66">
        <f>VLOOKUP(MAX(A34:A39),$A$34:$H$39,7,0)</f>
        <v>7483.5057972170007</v>
      </c>
      <c r="U25" s="66">
        <f>VLOOKUP(MAX(A34:A39)-1,$A$34:$H$39,7,0)</f>
        <v>7267.0079988930001</v>
      </c>
      <c r="V25" s="189">
        <f t="shared" si="0"/>
        <v>2.979187560506058E-2</v>
      </c>
    </row>
    <row r="26" spans="1:22" ht="15.75" x14ac:dyDescent="0.25">
      <c r="A26" s="68">
        <v>2023</v>
      </c>
      <c r="B26" s="66">
        <v>35951.210686268008</v>
      </c>
      <c r="C26" s="66">
        <v>26265.764973057005</v>
      </c>
      <c r="D26" s="66">
        <v>3141.151965479</v>
      </c>
      <c r="E26" s="66">
        <v>1269.848324431</v>
      </c>
      <c r="F26" s="66">
        <v>5274.445423301001</v>
      </c>
      <c r="I26" s="169"/>
      <c r="S26" t="s">
        <v>39</v>
      </c>
      <c r="T26" s="66">
        <f>VLOOKUP(MAX(A34:A39),$A$34:$H$39,8,0)</f>
        <v>1643.5350817950002</v>
      </c>
      <c r="U26" s="66">
        <f>VLOOKUP(MAX(A34:A39)-1,$A$34:$H$39,8,0)</f>
        <v>1408.6633498970002</v>
      </c>
      <c r="V26" s="189">
        <f t="shared" si="0"/>
        <v>0.16673375644732547</v>
      </c>
    </row>
    <row r="27" spans="1:22" ht="15.75" x14ac:dyDescent="0.25">
      <c r="A27" s="68">
        <v>2024</v>
      </c>
      <c r="B27" s="66">
        <v>42219.921934496997</v>
      </c>
      <c r="C27" s="66">
        <v>31757.824714815</v>
      </c>
      <c r="D27" s="66">
        <v>2701.7181166680002</v>
      </c>
      <c r="E27" s="66">
        <v>1491.8566782520002</v>
      </c>
      <c r="F27" s="66">
        <v>6268.5224247620008</v>
      </c>
      <c r="S27" t="s">
        <v>124</v>
      </c>
      <c r="T27" s="66">
        <f>VLOOKUP(MAX(A44:A49),$A$44:$F$49,2,0)</f>
        <v>4829.5173940139994</v>
      </c>
      <c r="U27" s="66">
        <f>VLOOKUP(MAX(A44:A49)-1,$A$44:$F$49,2,0)</f>
        <v>4969.544411887</v>
      </c>
      <c r="V27" s="190">
        <f t="shared" si="0"/>
        <v>-2.8177033198065415E-2</v>
      </c>
    </row>
    <row r="28" spans="1:22" ht="15.75" x14ac:dyDescent="0.25">
      <c r="S28" t="s">
        <v>125</v>
      </c>
      <c r="T28" s="66">
        <f>VLOOKUP(MAX(A44:A49),$A$44:$F$49,3,0)</f>
        <v>639.21142723538946</v>
      </c>
      <c r="U28" s="65">
        <f>VLOOKUP(MAX(A44:A49)-1,$A$44:$F$49,3,0)</f>
        <v>684.36577846056628</v>
      </c>
      <c r="V28" s="189">
        <f t="shared" si="0"/>
        <v>-6.5979849732913931E-2</v>
      </c>
    </row>
    <row r="29" spans="1:22" ht="15.75" x14ac:dyDescent="0.25">
      <c r="S29" t="s">
        <v>126</v>
      </c>
      <c r="T29" s="183">
        <f>VLOOKUP(MAX(A44:A49),$A$44:$F$49,4,0)/100</f>
        <v>1.4521789857591479E-2</v>
      </c>
      <c r="U29" s="183">
        <f>VLOOKUP(MAX(A44:A49)-1,$A$44:$F$49,4,0)/100</f>
        <v>1.5872324849016906E-2</v>
      </c>
      <c r="V29" s="189">
        <f t="shared" si="0"/>
        <v>-8.5087408698611422E-2</v>
      </c>
    </row>
    <row r="30" spans="1:22" ht="15.75" x14ac:dyDescent="0.25">
      <c r="S30" t="s">
        <v>127</v>
      </c>
      <c r="T30" s="183">
        <f>ABS(VLOOKUP(MAX(A54:A130),$A$54:$E$130,4,0))/100</f>
        <v>2.5045406849548216E-2</v>
      </c>
      <c r="U30" s="183">
        <f>ABS(VLOOKUP(MAX(A54:A139)-1,$A$54:$E$139,4,0))/100</f>
        <v>2.2623964293419275E-2</v>
      </c>
      <c r="V30" s="189">
        <f t="shared" si="0"/>
        <v>0.10702998487463478</v>
      </c>
    </row>
    <row r="31" spans="1:22" ht="15.75" x14ac:dyDescent="0.25">
      <c r="A31" s="67" t="s">
        <v>67</v>
      </c>
      <c r="B31" t="s">
        <v>209</v>
      </c>
      <c r="S31" t="s">
        <v>128</v>
      </c>
      <c r="T31" s="66">
        <f>VLOOKUP(MAX(A44:A49),$A$44:$F$49,5,0)</f>
        <v>460.94207719616259</v>
      </c>
      <c r="U31" s="65">
        <f>VLOOKUP(MAX(A44:A49)-1,$A$44:$F$49,5,0)</f>
        <v>527.32801401933273</v>
      </c>
      <c r="V31" s="189">
        <f t="shared" si="0"/>
        <v>-0.12589116272653844</v>
      </c>
    </row>
    <row r="32" spans="1:22" ht="15.75" x14ac:dyDescent="0.25">
      <c r="S32" t="s">
        <v>129</v>
      </c>
      <c r="T32" s="193">
        <f>VLOOKUP(MAX(A44:A49),$A$44:$F$49,6,0)</f>
        <v>178.26935003922705</v>
      </c>
      <c r="U32" s="66">
        <f>VLOOKUP(MAX(A44:A49)-1,$A$44:$F$49,6,0)</f>
        <v>157.03776444123361</v>
      </c>
      <c r="V32" s="189">
        <f t="shared" si="0"/>
        <v>0.13520050844800902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0.72111050828636203</v>
      </c>
      <c r="U33" s="185">
        <f>+U31/U28</f>
        <v>0.77053533448957778</v>
      </c>
      <c r="V33" s="191"/>
    </row>
    <row r="34" spans="1:22" x14ac:dyDescent="0.25">
      <c r="A34" s="68">
        <v>2021</v>
      </c>
      <c r="B34" s="66">
        <v>29712.824107878001</v>
      </c>
      <c r="C34" s="66">
        <v>13617.268184718998</v>
      </c>
      <c r="D34" s="66">
        <v>3509.2874372250008</v>
      </c>
      <c r="E34" s="66">
        <v>2670.4315547069996</v>
      </c>
      <c r="F34" s="66">
        <v>3624.658223081999</v>
      </c>
      <c r="G34" s="66">
        <v>5095.9699572219997</v>
      </c>
      <c r="H34" s="66">
        <v>1195.208750923</v>
      </c>
      <c r="S34" t="s">
        <v>131</v>
      </c>
      <c r="T34" s="185">
        <f>+T32/T28</f>
        <v>0.2788894917136383</v>
      </c>
      <c r="U34" s="185">
        <f>+U32/U28</f>
        <v>0.2294646655104223</v>
      </c>
      <c r="V34" s="191"/>
    </row>
    <row r="35" spans="1:22" x14ac:dyDescent="0.25">
      <c r="A35" s="68">
        <v>2022</v>
      </c>
      <c r="B35" s="66">
        <v>32138.322429939002</v>
      </c>
      <c r="C35" s="66">
        <v>14560.238430394</v>
      </c>
      <c r="D35" s="66">
        <v>3325.2054849219999</v>
      </c>
      <c r="E35" s="66">
        <v>3033.489956162</v>
      </c>
      <c r="F35" s="66">
        <v>3704.985975044</v>
      </c>
      <c r="G35" s="66">
        <v>6106.1663868339983</v>
      </c>
      <c r="H35" s="66">
        <v>1408.236196583</v>
      </c>
    </row>
    <row r="36" spans="1:22" x14ac:dyDescent="0.25">
      <c r="A36" s="68">
        <v>2023</v>
      </c>
      <c r="B36" s="66">
        <v>36691.410209965004</v>
      </c>
      <c r="C36" s="66">
        <v>15713.799465618002</v>
      </c>
      <c r="D36" s="66">
        <v>3996.2142258019999</v>
      </c>
      <c r="E36" s="66">
        <v>4202.9338944379997</v>
      </c>
      <c r="F36" s="66">
        <v>4102.7912753170003</v>
      </c>
      <c r="G36" s="66">
        <v>7267.0079988930001</v>
      </c>
      <c r="H36" s="66">
        <v>1408.6633498970002</v>
      </c>
    </row>
    <row r="37" spans="1:22" ht="15.75" x14ac:dyDescent="0.25">
      <c r="A37" s="68">
        <v>2024</v>
      </c>
      <c r="B37" s="66">
        <v>41762.451109064998</v>
      </c>
      <c r="C37" s="66">
        <v>16861.446120455003</v>
      </c>
      <c r="D37" s="66">
        <v>5542.5519850599985</v>
      </c>
      <c r="E37" s="66">
        <v>5405.9356512509994</v>
      </c>
      <c r="F37" s="66">
        <v>4825.4764732869999</v>
      </c>
      <c r="G37" s="66">
        <v>7483.5057972170007</v>
      </c>
      <c r="H37" s="66">
        <v>1643.5350817950002</v>
      </c>
      <c r="S37" t="s">
        <v>207</v>
      </c>
      <c r="T37" s="227">
        <f>VLOOKUP(MAX(F140:F200),$F$140:$H$200,3,0)</f>
        <v>8124.4085024489996</v>
      </c>
      <c r="U37" s="227">
        <f>VLOOKUP(MAX(F140:F200)-1,$F$140:$H$200,3,0)</f>
        <v>6947.415507484</v>
      </c>
      <c r="V37" s="189">
        <f>T37/U37-1</f>
        <v>0.16941451014367881</v>
      </c>
    </row>
    <row r="38" spans="1:22" ht="15.75" x14ac:dyDescent="0.25">
      <c r="S38" t="s">
        <v>208</v>
      </c>
      <c r="T38" s="222">
        <f>VLOOKUP(MAX($A$140:$A$226),$A$140:$D$226,4,0)</f>
        <v>1086.5802107942291</v>
      </c>
      <c r="U38" s="222">
        <f>VLOOKUP(MAX($A$140:$A$226)-1,$A$140:$D$226,4,0)</f>
        <v>958.40582525230434</v>
      </c>
      <c r="V38" s="190">
        <f>T37/U37-1</f>
        <v>0.16941451014367881</v>
      </c>
    </row>
    <row r="39" spans="1:22" ht="15.75" x14ac:dyDescent="0.25">
      <c r="S39" t="s">
        <v>211</v>
      </c>
      <c r="T39" s="222">
        <f>VLOOKUP(MAX(A140:A179),$A$140:$C$179,3,0)</f>
        <v>844.89133805294216</v>
      </c>
      <c r="U39" s="222">
        <f>VLOOKUP(MAX(A140:A179)-1,$A$140:$C$179,3,0)</f>
        <v>684.50449492342761</v>
      </c>
      <c r="V39" s="190">
        <f t="shared" ref="V39" si="1">IFERROR(T39/U39-1,0)</f>
        <v>0.23431086913089771</v>
      </c>
    </row>
    <row r="41" spans="1:22" x14ac:dyDescent="0.25">
      <c r="A41" s="67" t="s">
        <v>67</v>
      </c>
      <c r="B41" t="s">
        <v>209</v>
      </c>
      <c r="T41" s="226">
        <f>T38-T39</f>
        <v>241.6888727412869</v>
      </c>
      <c r="U41" s="226">
        <f>U38-U39</f>
        <v>273.90133032887672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0.77756923019550861</v>
      </c>
    </row>
    <row r="44" spans="1:22" x14ac:dyDescent="0.25">
      <c r="A44" s="68">
        <v>2021</v>
      </c>
      <c r="B44" s="66">
        <v>5544.9559409659996</v>
      </c>
      <c r="C44" s="65">
        <v>819.41868783016798</v>
      </c>
      <c r="D44" s="66">
        <v>2.0488771062661222</v>
      </c>
      <c r="E44" s="65">
        <v>648.20114005199002</v>
      </c>
      <c r="F44" s="65">
        <v>171.21754777817796</v>
      </c>
      <c r="T44" s="70">
        <f>T41/T38</f>
        <v>0.22243076980449139</v>
      </c>
    </row>
    <row r="45" spans="1:22" x14ac:dyDescent="0.25">
      <c r="A45" s="68">
        <v>2022</v>
      </c>
      <c r="B45" s="66">
        <v>6401.5012336799728</v>
      </c>
      <c r="C45" s="65">
        <v>921.06503755583879</v>
      </c>
      <c r="D45" s="66">
        <v>2.1852095583437636</v>
      </c>
      <c r="E45" s="65">
        <v>672.48411374791954</v>
      </c>
      <c r="F45" s="65">
        <v>248.58092380791922</v>
      </c>
    </row>
    <row r="46" spans="1:22" x14ac:dyDescent="0.25">
      <c r="A46" s="68">
        <v>2023</v>
      </c>
      <c r="B46" s="66">
        <v>4969.544411887</v>
      </c>
      <c r="C46" s="65">
        <v>684.36577846056628</v>
      </c>
      <c r="D46" s="66">
        <v>1.5872324849016906</v>
      </c>
      <c r="E46" s="65">
        <v>527.32801401933273</v>
      </c>
      <c r="F46" s="65">
        <v>157.03776444123361</v>
      </c>
      <c r="I46" s="169"/>
    </row>
    <row r="47" spans="1:22" x14ac:dyDescent="0.25">
      <c r="A47" s="68">
        <v>2024</v>
      </c>
      <c r="B47" s="66">
        <v>4829.5173940139994</v>
      </c>
      <c r="C47" s="65">
        <v>639.21142723538946</v>
      </c>
      <c r="D47" s="66">
        <v>1.4521789857591478</v>
      </c>
      <c r="E47" s="65">
        <v>460.94207719616259</v>
      </c>
      <c r="F47" s="65">
        <v>178.26935003922705</v>
      </c>
      <c r="J47" s="169"/>
    </row>
    <row r="51" spans="1:17" x14ac:dyDescent="0.25">
      <c r="A51" s="67" t="s">
        <v>67</v>
      </c>
      <c r="B51" t="s">
        <v>209</v>
      </c>
      <c r="G51" s="67" t="s">
        <v>67</v>
      </c>
      <c r="H51" t="s">
        <v>209</v>
      </c>
    </row>
    <row r="52" spans="1:17" x14ac:dyDescent="0.25">
      <c r="M52" s="67" t="s">
        <v>67</v>
      </c>
      <c r="N52" t="s">
        <v>209</v>
      </c>
    </row>
    <row r="53" spans="1:17" ht="60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10</v>
      </c>
      <c r="C54" s="66">
        <v>-0.63327667853349923</v>
      </c>
      <c r="D54" s="66">
        <v>3.2378692612638948</v>
      </c>
      <c r="E54" s="66">
        <v>-3.871145939797394</v>
      </c>
      <c r="G54">
        <v>2021</v>
      </c>
      <c r="H54" s="69">
        <v>10</v>
      </c>
      <c r="I54" s="66">
        <v>-215.62820653488509</v>
      </c>
      <c r="J54" s="66">
        <v>-1444.8663057825672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9</v>
      </c>
      <c r="C55" s="66">
        <v>-0.67821471251602294</v>
      </c>
      <c r="D55" s="66">
        <v>3.2166151494934749</v>
      </c>
      <c r="E55" s="66">
        <v>-3.8948298620094981</v>
      </c>
      <c r="G55">
        <v>2021</v>
      </c>
      <c r="H55" s="69">
        <v>9</v>
      </c>
      <c r="I55" s="66">
        <v>-226.58393803158941</v>
      </c>
      <c r="J55" s="66">
        <v>-1433.8128370960794</v>
      </c>
      <c r="M55">
        <v>2021</v>
      </c>
      <c r="N55" s="69">
        <v>10</v>
      </c>
      <c r="O55" s="66">
        <v>-8.8104701711451239E-2</v>
      </c>
      <c r="P55" s="66">
        <v>0.29488080419592932</v>
      </c>
      <c r="Q55" s="66">
        <v>-0.38298550590738056</v>
      </c>
    </row>
    <row r="56" spans="1:17" x14ac:dyDescent="0.25">
      <c r="A56">
        <v>2021</v>
      </c>
      <c r="B56" s="69">
        <v>8</v>
      </c>
      <c r="C56" s="66">
        <v>-0.86005432582588703</v>
      </c>
      <c r="D56" s="66">
        <v>3.182670781776582</v>
      </c>
      <c r="E56" s="66">
        <v>-4.0427251076024699</v>
      </c>
      <c r="G56">
        <v>2021</v>
      </c>
      <c r="H56" s="69">
        <v>8</v>
      </c>
      <c r="I56" s="66">
        <v>-287.92564123568104</v>
      </c>
      <c r="J56" s="66">
        <v>-1469.3732387993389</v>
      </c>
      <c r="M56">
        <v>2021</v>
      </c>
      <c r="N56" s="69">
        <v>9</v>
      </c>
      <c r="O56" s="66">
        <v>-2.2849673895653608E-2</v>
      </c>
      <c r="P56" s="66">
        <v>0.28927510234327408</v>
      </c>
      <c r="Q56" s="66">
        <v>-0.3121247762389277</v>
      </c>
    </row>
    <row r="57" spans="1:17" x14ac:dyDescent="0.25">
      <c r="A57">
        <v>2021</v>
      </c>
      <c r="B57" s="69">
        <v>7</v>
      </c>
      <c r="C57" s="66">
        <v>-0.8350561560934</v>
      </c>
      <c r="D57" s="66">
        <v>3.1906272190042539</v>
      </c>
      <c r="E57" s="66">
        <v>-4.0256833750976542</v>
      </c>
      <c r="G57">
        <v>2021</v>
      </c>
      <c r="H57" s="69">
        <v>7</v>
      </c>
      <c r="I57" s="66">
        <v>-272.93534989324479</v>
      </c>
      <c r="J57" s="66">
        <v>-1448.4711988725564</v>
      </c>
      <c r="M57">
        <v>2021</v>
      </c>
      <c r="N57" s="69">
        <v>8</v>
      </c>
      <c r="O57" s="66">
        <v>-0.13960823806404399</v>
      </c>
      <c r="P57" s="66">
        <v>0.18998836336697567</v>
      </c>
      <c r="Q57" s="66">
        <v>-0.32959660143101965</v>
      </c>
    </row>
    <row r="58" spans="1:17" x14ac:dyDescent="0.25">
      <c r="A58">
        <v>2021</v>
      </c>
      <c r="B58" s="69">
        <v>6</v>
      </c>
      <c r="C58" s="66">
        <v>-0.98404871120089521</v>
      </c>
      <c r="D58" s="66">
        <v>3.24096536937112</v>
      </c>
      <c r="E58" s="66">
        <v>-4.2250140805720156</v>
      </c>
      <c r="G58">
        <v>2021</v>
      </c>
      <c r="H58" s="69">
        <v>6</v>
      </c>
      <c r="I58" s="66">
        <v>-326.23454422619477</v>
      </c>
      <c r="J58" s="66">
        <v>-1507.4998144580104</v>
      </c>
      <c r="M58">
        <v>2021</v>
      </c>
      <c r="N58" s="69">
        <v>7</v>
      </c>
      <c r="O58" s="66">
        <v>3.1553413938215313E-2</v>
      </c>
      <c r="P58" s="66">
        <v>0.24768688733110816</v>
      </c>
      <c r="Q58" s="66">
        <v>-0.21613347339289285</v>
      </c>
    </row>
    <row r="59" spans="1:17" x14ac:dyDescent="0.25">
      <c r="A59">
        <v>2021</v>
      </c>
      <c r="B59" s="69">
        <v>5</v>
      </c>
      <c r="C59" s="66">
        <v>-1.1323181563350462</v>
      </c>
      <c r="D59" s="66">
        <v>3.2825424134534669</v>
      </c>
      <c r="E59" s="66">
        <v>-4.4148605697885133</v>
      </c>
      <c r="G59">
        <v>2021</v>
      </c>
      <c r="H59" s="69">
        <v>5</v>
      </c>
      <c r="I59" s="66">
        <v>-381.82423380740869</v>
      </c>
      <c r="J59" s="66">
        <v>-1568.2411732513372</v>
      </c>
      <c r="M59">
        <v>2021</v>
      </c>
      <c r="N59" s="69">
        <v>6</v>
      </c>
      <c r="O59" s="66">
        <v>5.8764962857620028E-2</v>
      </c>
      <c r="P59" s="66">
        <v>0.22268886267905927</v>
      </c>
      <c r="Q59" s="66">
        <v>-0.16392389982143926</v>
      </c>
    </row>
    <row r="60" spans="1:17" x14ac:dyDescent="0.25">
      <c r="A60">
        <v>2021</v>
      </c>
      <c r="B60" s="69">
        <v>4</v>
      </c>
      <c r="C60" s="66">
        <v>-1.5190317340745823</v>
      </c>
      <c r="D60" s="66">
        <v>3.3394695921484243</v>
      </c>
      <c r="E60" s="66">
        <v>-4.8585013262230063</v>
      </c>
      <c r="G60">
        <v>2021</v>
      </c>
      <c r="H60" s="69">
        <v>4</v>
      </c>
      <c r="I60" s="66">
        <v>-526.87735616174552</v>
      </c>
      <c r="J60" s="66">
        <v>-1727.6071330393333</v>
      </c>
      <c r="M60">
        <v>2021</v>
      </c>
      <c r="N60" s="69">
        <v>5</v>
      </c>
      <c r="O60" s="66">
        <v>0.10971609088774859</v>
      </c>
      <c r="P60" s="66">
        <v>0.16527921650776339</v>
      </c>
      <c r="Q60" s="66">
        <v>-5.5563125620014822E-2</v>
      </c>
    </row>
    <row r="61" spans="1:17" x14ac:dyDescent="0.25">
      <c r="A61">
        <v>2021</v>
      </c>
      <c r="B61" s="69">
        <v>3</v>
      </c>
      <c r="C61" s="66">
        <v>-2.2757067387487586</v>
      </c>
      <c r="D61" s="66">
        <v>3.388681978254926</v>
      </c>
      <c r="E61" s="66">
        <v>-5.6643887170036837</v>
      </c>
      <c r="G61">
        <v>2021</v>
      </c>
      <c r="H61" s="69">
        <v>3</v>
      </c>
      <c r="I61" s="66">
        <v>-807.53736374598134</v>
      </c>
      <c r="J61" s="66">
        <v>-2015.0648164228842</v>
      </c>
      <c r="M61">
        <v>2021</v>
      </c>
      <c r="N61" s="69">
        <v>4</v>
      </c>
      <c r="O61" s="66">
        <v>3.3717609715727154E-2</v>
      </c>
      <c r="P61" s="66">
        <v>0.21139847352624791</v>
      </c>
      <c r="Q61" s="66">
        <v>-0.17768086381052078</v>
      </c>
    </row>
    <row r="62" spans="1:17" x14ac:dyDescent="0.25">
      <c r="A62">
        <v>2021</v>
      </c>
      <c r="B62" s="69">
        <v>2</v>
      </c>
      <c r="C62" s="66">
        <v>-2.2796600260864821</v>
      </c>
      <c r="D62" s="66">
        <v>3.6387685894982349</v>
      </c>
      <c r="E62" s="66">
        <v>-5.918428615584717</v>
      </c>
      <c r="G62">
        <v>2021</v>
      </c>
      <c r="H62" s="69">
        <v>2</v>
      </c>
      <c r="I62" s="66">
        <v>-799.02795861134098</v>
      </c>
      <c r="J62" s="66">
        <v>-2087.8332894796749</v>
      </c>
      <c r="M62">
        <v>2021</v>
      </c>
      <c r="N62" s="69">
        <v>3</v>
      </c>
      <c r="O62" s="66">
        <v>-0.20296140640904467</v>
      </c>
      <c r="P62" s="66">
        <v>0.20299257096425588</v>
      </c>
      <c r="Q62" s="66">
        <v>-0.40595397737330058</v>
      </c>
    </row>
    <row r="63" spans="1:17" x14ac:dyDescent="0.25">
      <c r="A63">
        <v>2021</v>
      </c>
      <c r="B63" s="69">
        <v>1</v>
      </c>
      <c r="C63" s="66">
        <v>-2.2452141807758346</v>
      </c>
      <c r="D63" s="66">
        <v>3.6813365822153297</v>
      </c>
      <c r="E63" s="66">
        <v>-5.9265507629911642</v>
      </c>
      <c r="G63">
        <v>2021</v>
      </c>
      <c r="H63" s="69">
        <v>1</v>
      </c>
      <c r="I63" s="66">
        <v>-786.51124431854475</v>
      </c>
      <c r="J63" s="66">
        <v>-2087.6874145614274</v>
      </c>
      <c r="M63">
        <v>2021</v>
      </c>
      <c r="N63" s="69">
        <v>2</v>
      </c>
      <c r="O63" s="66">
        <v>4.4847703412539989E-3</v>
      </c>
      <c r="P63" s="66">
        <v>9.4917217302481857E-2</v>
      </c>
      <c r="Q63" s="66">
        <v>-9.0432446961227861E-2</v>
      </c>
    </row>
    <row r="64" spans="1:17" x14ac:dyDescent="0.25">
      <c r="A64">
        <v>2022</v>
      </c>
      <c r="B64" s="69">
        <v>10</v>
      </c>
      <c r="C64" s="66">
        <v>-0.2313601641586322</v>
      </c>
      <c r="D64" s="66">
        <v>3.0469807788832139</v>
      </c>
      <c r="E64" s="66">
        <v>-3.278340943041846</v>
      </c>
      <c r="G64">
        <v>2022</v>
      </c>
      <c r="H64" s="69">
        <v>10</v>
      </c>
      <c r="I64" s="66">
        <v>-71.888873587811446</v>
      </c>
      <c r="J64" s="66">
        <v>-1334.7332205198932</v>
      </c>
      <c r="M64">
        <v>2021</v>
      </c>
      <c r="N64" s="69">
        <v>1</v>
      </c>
      <c r="O64" s="66">
        <v>0.31369682060727627</v>
      </c>
      <c r="P64" s="66">
        <v>0.12976960804902637</v>
      </c>
      <c r="Q64" s="66">
        <v>0.18392721255824993</v>
      </c>
    </row>
    <row r="65" spans="1:17" x14ac:dyDescent="0.25">
      <c r="A65">
        <v>2022</v>
      </c>
      <c r="B65" s="69">
        <v>9</v>
      </c>
      <c r="C65" s="66">
        <v>-0.17232972916730491</v>
      </c>
      <c r="D65" s="66">
        <v>2.981268999715303</v>
      </c>
      <c r="E65" s="66">
        <v>-3.1535987288826077</v>
      </c>
      <c r="G65">
        <v>2022</v>
      </c>
      <c r="H65" s="69">
        <v>9</v>
      </c>
      <c r="I65" s="66">
        <v>-46.352410415341907</v>
      </c>
      <c r="J65" s="66">
        <v>-1277.55061567704</v>
      </c>
      <c r="M65">
        <v>2022</v>
      </c>
      <c r="N65" s="69">
        <v>10</v>
      </c>
      <c r="O65" s="66">
        <v>-0.14713513670277845</v>
      </c>
      <c r="P65" s="66">
        <v>0.36059258336384037</v>
      </c>
      <c r="Q65" s="66">
        <v>-0.50772772006661882</v>
      </c>
    </row>
    <row r="66" spans="1:17" x14ac:dyDescent="0.25">
      <c r="A66">
        <v>2022</v>
      </c>
      <c r="B66" s="69">
        <v>8</v>
      </c>
      <c r="C66" s="66">
        <v>-0.25070072738387339</v>
      </c>
      <c r="D66" s="66">
        <v>3.0476263819098373</v>
      </c>
      <c r="E66" s="66">
        <v>-3.2983271092937101</v>
      </c>
      <c r="G66">
        <v>2022</v>
      </c>
      <c r="H66" s="69">
        <v>8</v>
      </c>
      <c r="I66" s="66">
        <v>-78.637451980203693</v>
      </c>
      <c r="J66" s="66">
        <v>-1329.6817971705307</v>
      </c>
      <c r="M66">
        <v>2022</v>
      </c>
      <c r="N66" s="69">
        <v>9</v>
      </c>
      <c r="O66" s="66">
        <v>5.5521324320914826E-2</v>
      </c>
      <c r="P66" s="66">
        <v>0.22291772014873998</v>
      </c>
      <c r="Q66" s="66">
        <v>-0.16739639582782515</v>
      </c>
    </row>
    <row r="67" spans="1:17" x14ac:dyDescent="0.25">
      <c r="A67">
        <v>2022</v>
      </c>
      <c r="B67" s="69">
        <v>7</v>
      </c>
      <c r="C67" s="66">
        <v>-0.33664472365278097</v>
      </c>
      <c r="D67" s="66">
        <v>3.0257848689054208</v>
      </c>
      <c r="E67" s="66">
        <v>-3.3624295925582008</v>
      </c>
      <c r="G67">
        <v>2022</v>
      </c>
      <c r="H67" s="69">
        <v>7</v>
      </c>
      <c r="I67" s="66">
        <v>-110.31752991195648</v>
      </c>
      <c r="J67" s="66">
        <v>-1345.3264688171917</v>
      </c>
      <c r="M67">
        <v>2022</v>
      </c>
      <c r="N67" s="69">
        <v>8</v>
      </c>
      <c r="O67" s="66">
        <v>-5.3664241795136597E-2</v>
      </c>
      <c r="P67" s="66">
        <v>0.21182987637139239</v>
      </c>
      <c r="Q67" s="66">
        <v>-0.26549411816652896</v>
      </c>
    </row>
    <row r="68" spans="1:17" x14ac:dyDescent="0.25">
      <c r="A68">
        <v>2022</v>
      </c>
      <c r="B68" s="69">
        <v>6</v>
      </c>
      <c r="C68" s="66">
        <v>-0.42815907212722759</v>
      </c>
      <c r="D68" s="66">
        <v>3.0663257534558714</v>
      </c>
      <c r="E68" s="66">
        <v>-3.4944848255830987</v>
      </c>
      <c r="G68">
        <v>2022</v>
      </c>
      <c r="H68" s="69">
        <v>6</v>
      </c>
      <c r="I68" s="66">
        <v>-150.33814591519484</v>
      </c>
      <c r="J68" s="66">
        <v>-1394.8798770879039</v>
      </c>
      <c r="M68">
        <v>2022</v>
      </c>
      <c r="N68" s="69">
        <v>7</v>
      </c>
      <c r="O68" s="66">
        <v>0.12306776241266205</v>
      </c>
      <c r="P68" s="66">
        <v>0.20714600278065745</v>
      </c>
      <c r="Q68" s="66">
        <v>-8.4078240367995369E-2</v>
      </c>
    </row>
    <row r="69" spans="1:17" x14ac:dyDescent="0.25">
      <c r="A69">
        <v>2022</v>
      </c>
      <c r="B69" s="69">
        <v>5</v>
      </c>
      <c r="C69" s="66">
        <v>-0.37883976814855425</v>
      </c>
      <c r="D69" s="66">
        <v>3.0345007580169532</v>
      </c>
      <c r="E69" s="66">
        <v>-3.4133405261655079</v>
      </c>
      <c r="G69">
        <v>2022</v>
      </c>
      <c r="H69" s="69">
        <v>5</v>
      </c>
      <c r="I69" s="66">
        <v>-130.79255028950266</v>
      </c>
      <c r="J69" s="66">
        <v>-1355.9750663708678</v>
      </c>
      <c r="M69">
        <v>2022</v>
      </c>
      <c r="N69" s="69">
        <v>6</v>
      </c>
      <c r="O69" s="66">
        <v>9.4456588789467756E-3</v>
      </c>
      <c r="P69" s="66">
        <v>0.25451385811797683</v>
      </c>
      <c r="Q69" s="66">
        <v>-0.24506819923903012</v>
      </c>
    </row>
    <row r="70" spans="1:17" x14ac:dyDescent="0.25">
      <c r="A70">
        <v>2022</v>
      </c>
      <c r="B70" s="69">
        <v>4</v>
      </c>
      <c r="C70" s="66">
        <v>-0.6250164517986545</v>
      </c>
      <c r="D70" s="66">
        <v>3.047477203276892</v>
      </c>
      <c r="E70" s="66">
        <v>-3.6724936550755474</v>
      </c>
      <c r="G70">
        <v>2022</v>
      </c>
      <c r="H70" s="69">
        <v>4</v>
      </c>
      <c r="I70" s="66">
        <v>-238.72818434647192</v>
      </c>
      <c r="J70" s="66">
        <v>-1465.3922928739375</v>
      </c>
      <c r="M70">
        <v>2022</v>
      </c>
      <c r="N70" s="69">
        <v>5</v>
      </c>
      <c r="O70" s="66">
        <v>0.35589277453784884</v>
      </c>
      <c r="P70" s="66">
        <v>0.15230277124782468</v>
      </c>
      <c r="Q70" s="66">
        <v>0.20359000329002422</v>
      </c>
    </row>
    <row r="71" spans="1:17" x14ac:dyDescent="0.25">
      <c r="A71">
        <v>2022</v>
      </c>
      <c r="B71" s="69">
        <v>3</v>
      </c>
      <c r="C71" s="66">
        <v>-0.85026253902021987</v>
      </c>
      <c r="D71" s="66">
        <v>3.0419265904024613</v>
      </c>
      <c r="E71" s="66">
        <v>-3.892189129422682</v>
      </c>
      <c r="G71">
        <v>2022</v>
      </c>
      <c r="H71" s="69">
        <v>3</v>
      </c>
      <c r="I71" s="66">
        <v>-335.21103551015653</v>
      </c>
      <c r="J71" s="66">
        <v>-1558.3642810772137</v>
      </c>
      <c r="M71">
        <v>2022</v>
      </c>
      <c r="N71" s="69">
        <v>4</v>
      </c>
      <c r="O71" s="66">
        <v>0.25896369693729232</v>
      </c>
      <c r="P71" s="66">
        <v>0.21694908640067806</v>
      </c>
      <c r="Q71" s="66">
        <v>4.2014610536614254E-2</v>
      </c>
    </row>
    <row r="72" spans="1:17" x14ac:dyDescent="0.25">
      <c r="A72">
        <v>2022</v>
      </c>
      <c r="B72" s="69">
        <v>2</v>
      </c>
      <c r="C72" s="66">
        <v>-0.83436511810483194</v>
      </c>
      <c r="D72" s="66">
        <v>2.9777341716657286</v>
      </c>
      <c r="E72" s="66">
        <v>-3.8120992897705612</v>
      </c>
      <c r="G72">
        <v>2022</v>
      </c>
      <c r="H72" s="69">
        <v>2</v>
      </c>
      <c r="I72" s="66">
        <v>-327.12354264265701</v>
      </c>
      <c r="J72" s="66">
        <v>-1521.8702839373198</v>
      </c>
      <c r="M72">
        <v>2022</v>
      </c>
      <c r="N72" s="69">
        <v>3</v>
      </c>
      <c r="O72" s="66">
        <v>-0.21885882732443246</v>
      </c>
      <c r="P72" s="66">
        <v>0.26718498970098908</v>
      </c>
      <c r="Q72" s="66">
        <v>-0.4860438170254216</v>
      </c>
    </row>
    <row r="73" spans="1:17" x14ac:dyDescent="0.25">
      <c r="A73">
        <v>2022</v>
      </c>
      <c r="B73" s="69">
        <v>1</v>
      </c>
      <c r="C73" s="66">
        <v>-0.86763090916914043</v>
      </c>
      <c r="D73" s="66">
        <v>2.8322228675670016</v>
      </c>
      <c r="E73" s="66">
        <v>-3.699853776736143</v>
      </c>
      <c r="G73">
        <v>2022</v>
      </c>
      <c r="H73" s="69">
        <v>1</v>
      </c>
      <c r="I73" s="66">
        <v>-341.19344402078883</v>
      </c>
      <c r="J73" s="66">
        <v>-1473.0410415566998</v>
      </c>
      <c r="M73">
        <v>2022</v>
      </c>
      <c r="N73" s="69">
        <v>2</v>
      </c>
      <c r="O73" s="66">
        <v>3.7750561405562565E-2</v>
      </c>
      <c r="P73" s="66">
        <v>0.24042852140120863</v>
      </c>
      <c r="Q73" s="66">
        <v>-0.20267795999564603</v>
      </c>
    </row>
    <row r="74" spans="1:17" x14ac:dyDescent="0.25">
      <c r="A74">
        <v>2023</v>
      </c>
      <c r="B74" s="69">
        <v>10</v>
      </c>
      <c r="C74" s="66">
        <v>-0.8970109377986184</v>
      </c>
      <c r="D74" s="66">
        <v>2.2623964293419276</v>
      </c>
      <c r="E74" s="66">
        <v>-3.1594073671405467</v>
      </c>
      <c r="G74">
        <v>2023</v>
      </c>
      <c r="H74" s="69">
        <v>10</v>
      </c>
      <c r="I74" s="66">
        <v>-368.80430546293633</v>
      </c>
      <c r="J74" s="66">
        <v>-1327.2101307152409</v>
      </c>
      <c r="M74">
        <v>2022</v>
      </c>
      <c r="N74" s="69">
        <v>1</v>
      </c>
      <c r="O74" s="66">
        <v>0.16636340742350667</v>
      </c>
      <c r="P74" s="66">
        <v>5.1344148810456444E-2</v>
      </c>
      <c r="Q74" s="66">
        <v>0.11501925861305022</v>
      </c>
    </row>
    <row r="75" spans="1:17" x14ac:dyDescent="0.25">
      <c r="A75">
        <v>2023</v>
      </c>
      <c r="B75" s="69">
        <v>9</v>
      </c>
      <c r="C75" s="66">
        <v>-0.9374143226093995</v>
      </c>
      <c r="D75" s="66">
        <v>2.4127936440614328</v>
      </c>
      <c r="E75" s="66">
        <v>-3.3502079666708329</v>
      </c>
      <c r="G75">
        <v>2023</v>
      </c>
      <c r="H75" s="69">
        <v>9</v>
      </c>
      <c r="I75" s="66">
        <v>-383.61138317888106</v>
      </c>
      <c r="J75" s="66">
        <v>-1400.0886126656792</v>
      </c>
      <c r="M75">
        <v>2023</v>
      </c>
      <c r="N75" s="69">
        <v>10</v>
      </c>
      <c r="O75" s="66">
        <v>-0.10673175189199739</v>
      </c>
      <c r="P75" s="66">
        <v>0.21019536864433572</v>
      </c>
      <c r="Q75" s="66">
        <v>-0.31692712053633315</v>
      </c>
    </row>
    <row r="76" spans="1:17" x14ac:dyDescent="0.25">
      <c r="A76">
        <v>2023</v>
      </c>
      <c r="B76" s="69">
        <v>8</v>
      </c>
      <c r="C76" s="66">
        <v>-0.80879773332479399</v>
      </c>
      <c r="D76" s="66">
        <v>2.5512214677677285</v>
      </c>
      <c r="E76" s="66">
        <v>-3.3600192010925229</v>
      </c>
      <c r="G76">
        <v>2023</v>
      </c>
      <c r="H76" s="69">
        <v>8</v>
      </c>
      <c r="I76" s="66">
        <v>-328.83659080227943</v>
      </c>
      <c r="J76" s="66">
        <v>-1402.5917544149304</v>
      </c>
      <c r="M76">
        <v>2023</v>
      </c>
      <c r="N76" s="69">
        <v>9</v>
      </c>
      <c r="O76" s="66">
        <v>-7.3095264963690565E-2</v>
      </c>
      <c r="P76" s="66">
        <v>8.4489896442444687E-2</v>
      </c>
      <c r="Q76" s="66">
        <v>-0.15758516140613527</v>
      </c>
    </row>
    <row r="77" spans="1:17" x14ac:dyDescent="0.25">
      <c r="A77">
        <v>2023</v>
      </c>
      <c r="B77" s="69">
        <v>7</v>
      </c>
      <c r="C77" s="66">
        <v>-0.81656748460622064</v>
      </c>
      <c r="D77" s="66">
        <v>2.6514060576605321</v>
      </c>
      <c r="E77" s="66">
        <v>-3.467973542266753</v>
      </c>
      <c r="G77">
        <v>2023</v>
      </c>
      <c r="H77" s="69">
        <v>7</v>
      </c>
      <c r="I77" s="66">
        <v>-331.94831425324514</v>
      </c>
      <c r="J77" s="66">
        <v>-1447.9111310434982</v>
      </c>
      <c r="M77">
        <v>2023</v>
      </c>
      <c r="N77" s="69">
        <v>8</v>
      </c>
      <c r="O77" s="66">
        <v>-4.5894490513710091E-2</v>
      </c>
      <c r="P77" s="66">
        <v>0.11164528647858857</v>
      </c>
      <c r="Q77" s="66">
        <v>-0.15753977699229865</v>
      </c>
    </row>
    <row r="78" spans="1:17" x14ac:dyDescent="0.25">
      <c r="A78">
        <v>2023</v>
      </c>
      <c r="B78" s="69">
        <v>6</v>
      </c>
      <c r="C78" s="66">
        <v>-0.81963403826587911</v>
      </c>
      <c r="D78" s="66">
        <v>2.6659970735223282</v>
      </c>
      <c r="E78" s="66">
        <v>-3.4856311117882077</v>
      </c>
      <c r="G78">
        <v>2023</v>
      </c>
      <c r="H78" s="69">
        <v>6</v>
      </c>
      <c r="I78" s="66">
        <v>-333.75995523376588</v>
      </c>
      <c r="J78" s="66">
        <v>-1455.177102280602</v>
      </c>
      <c r="M78">
        <v>2023</v>
      </c>
      <c r="N78" s="69">
        <v>7</v>
      </c>
      <c r="O78" s="66">
        <v>0.12613431607232062</v>
      </c>
      <c r="P78" s="66">
        <v>0.192554986918861</v>
      </c>
      <c r="Q78" s="66">
        <v>-6.6420670846540381E-2</v>
      </c>
    </row>
    <row r="79" spans="1:17" x14ac:dyDescent="0.25">
      <c r="A79">
        <v>2023</v>
      </c>
      <c r="B79" s="69">
        <v>5</v>
      </c>
      <c r="C79" s="66">
        <v>-0.90244097048478511</v>
      </c>
      <c r="D79" s="66">
        <v>2.8143994682729501</v>
      </c>
      <c r="E79" s="66">
        <v>-3.7168404387577354</v>
      </c>
      <c r="G79">
        <v>2023</v>
      </c>
      <c r="H79" s="69">
        <v>5</v>
      </c>
      <c r="I79" s="66">
        <v>-369.55582741610658</v>
      </c>
      <c r="J79" s="66">
        <v>-1553.8752427743996</v>
      </c>
      <c r="M79">
        <v>2023</v>
      </c>
      <c r="N79" s="69">
        <v>6</v>
      </c>
      <c r="O79" s="66">
        <v>9.2252591097852624E-2</v>
      </c>
      <c r="P79" s="66">
        <v>0.1061114633673555</v>
      </c>
      <c r="Q79" s="66">
        <v>-1.3858872269502867E-2</v>
      </c>
    </row>
    <row r="80" spans="1:17" x14ac:dyDescent="0.25">
      <c r="A80">
        <v>2023</v>
      </c>
      <c r="B80" s="69">
        <v>4</v>
      </c>
      <c r="C80" s="66">
        <v>-0.71130827166834409</v>
      </c>
      <c r="D80" s="66">
        <v>2.8505486631893722</v>
      </c>
      <c r="E80" s="66">
        <v>-3.5618569348577167</v>
      </c>
      <c r="G80">
        <v>2023</v>
      </c>
      <c r="H80" s="69">
        <v>4</v>
      </c>
      <c r="I80" s="66">
        <v>-288.98710879564743</v>
      </c>
      <c r="J80" s="66">
        <v>-1487.9577678089936</v>
      </c>
      <c r="M80">
        <v>2023</v>
      </c>
      <c r="N80" s="69">
        <v>5</v>
      </c>
      <c r="O80" s="66">
        <v>0.16476007572140777</v>
      </c>
      <c r="P80" s="66">
        <v>0.11615357633140218</v>
      </c>
      <c r="Q80" s="66">
        <v>4.8606499390005595E-2</v>
      </c>
    </row>
    <row r="81" spans="1:17" x14ac:dyDescent="0.25">
      <c r="A81">
        <v>2023</v>
      </c>
      <c r="B81" s="69">
        <v>3</v>
      </c>
      <c r="C81" s="66">
        <v>-0.41108670117339963</v>
      </c>
      <c r="D81" s="66">
        <v>2.784225801548827</v>
      </c>
      <c r="E81" s="66">
        <v>-3.1953125027222269</v>
      </c>
      <c r="G81">
        <v>2023</v>
      </c>
      <c r="H81" s="69">
        <v>3</v>
      </c>
      <c r="I81" s="66">
        <v>-160.26152992475892</v>
      </c>
      <c r="J81" s="66">
        <v>-1328.3411021864779</v>
      </c>
      <c r="M81">
        <v>2023</v>
      </c>
      <c r="N81" s="69">
        <v>4</v>
      </c>
      <c r="O81" s="66">
        <v>-4.125787355765205E-2</v>
      </c>
      <c r="P81" s="66">
        <v>0.28327194804122341</v>
      </c>
      <c r="Q81" s="66">
        <v>-0.3245298215988755</v>
      </c>
    </row>
    <row r="82" spans="1:17" x14ac:dyDescent="0.25">
      <c r="A82">
        <v>2023</v>
      </c>
      <c r="B82" s="69">
        <v>2</v>
      </c>
      <c r="C82" s="66">
        <v>-0.41588700919773935</v>
      </c>
      <c r="D82" s="66">
        <v>2.8546997768586575</v>
      </c>
      <c r="E82" s="66">
        <v>-3.2705867860563971</v>
      </c>
      <c r="G82">
        <v>2023</v>
      </c>
      <c r="H82" s="69">
        <v>2</v>
      </c>
      <c r="I82" s="66">
        <v>-159.05804132190755</v>
      </c>
      <c r="J82" s="66">
        <v>-1353.8257223770315</v>
      </c>
      <c r="M82">
        <v>2023</v>
      </c>
      <c r="N82" s="69">
        <v>3</v>
      </c>
      <c r="O82" s="66">
        <v>-0.21405851930009281</v>
      </c>
      <c r="P82" s="66">
        <v>0.19671101439115851</v>
      </c>
      <c r="Q82" s="66">
        <v>-0.41076953369125135</v>
      </c>
    </row>
    <row r="83" spans="1:17" x14ac:dyDescent="0.25">
      <c r="A83">
        <v>2023</v>
      </c>
      <c r="B83" s="69">
        <v>1</v>
      </c>
      <c r="C83" s="66">
        <v>-0.22042148680924914</v>
      </c>
      <c r="D83" s="66">
        <v>2.9241018510267005</v>
      </c>
      <c r="E83" s="66">
        <v>-3.1445233378359494</v>
      </c>
      <c r="G83">
        <v>2023</v>
      </c>
      <c r="H83" s="69">
        <v>1</v>
      </c>
      <c r="I83" s="66">
        <v>-75.465664395214375</v>
      </c>
      <c r="J83" s="66">
        <v>-1297.9078327220973</v>
      </c>
      <c r="M83">
        <v>2023</v>
      </c>
      <c r="N83" s="69">
        <v>2</v>
      </c>
      <c r="O83" s="66">
        <v>-0.15771496098292764</v>
      </c>
      <c r="P83" s="66">
        <v>0.17102644723316596</v>
      </c>
      <c r="Q83" s="66">
        <v>-0.3287414082160936</v>
      </c>
    </row>
    <row r="84" spans="1:17" x14ac:dyDescent="0.25">
      <c r="A84">
        <v>2024</v>
      </c>
      <c r="B84" s="69">
        <v>10</v>
      </c>
      <c r="C84" s="66">
        <v>-1.0836119148792098</v>
      </c>
      <c r="D84" s="66">
        <v>2.5045406849548217</v>
      </c>
      <c r="E84" s="66">
        <v>-3.5881525998340322</v>
      </c>
      <c r="G84">
        <v>2024</v>
      </c>
      <c r="H84" s="69">
        <v>10</v>
      </c>
      <c r="I84" s="66">
        <v>-459.36068521543223</v>
      </c>
      <c r="J84" s="66">
        <v>-1545.9408960096612</v>
      </c>
      <c r="M84">
        <v>2023</v>
      </c>
      <c r="N84" s="69">
        <v>1</v>
      </c>
      <c r="O84" s="66">
        <v>1.91921083740282E-2</v>
      </c>
      <c r="P84" s="66">
        <v>0.11507249705315495</v>
      </c>
      <c r="Q84" s="66">
        <v>-9.5880388679126766E-2</v>
      </c>
    </row>
    <row r="85" spans="1:17" x14ac:dyDescent="0.25">
      <c r="A85">
        <v>2024</v>
      </c>
      <c r="B85" s="69">
        <v>9</v>
      </c>
      <c r="C85" s="66">
        <v>-1.0921869406572631</v>
      </c>
      <c r="D85" s="66">
        <v>2.5377684756249947</v>
      </c>
      <c r="E85" s="66">
        <v>-3.6299554162822583</v>
      </c>
      <c r="G85">
        <v>2024</v>
      </c>
      <c r="H85" s="69">
        <v>9</v>
      </c>
      <c r="I85" s="66">
        <v>-463.11513668571752</v>
      </c>
      <c r="J85" s="66">
        <v>-1563.9972899546221</v>
      </c>
      <c r="M85">
        <v>2024</v>
      </c>
      <c r="N85" s="69">
        <v>10</v>
      </c>
      <c r="O85" s="66">
        <v>-9.8156726113944132E-2</v>
      </c>
      <c r="P85" s="66">
        <v>0.1769675779741626</v>
      </c>
      <c r="Q85" s="66">
        <v>-0.27512430408810673</v>
      </c>
    </row>
    <row r="86" spans="1:17" x14ac:dyDescent="0.25">
      <c r="A86">
        <v>2024</v>
      </c>
      <c r="B86" s="69">
        <v>8</v>
      </c>
      <c r="C86" s="66">
        <v>-1.1331250795724994</v>
      </c>
      <c r="D86" s="66">
        <v>2.4604098235418483</v>
      </c>
      <c r="E86" s="66">
        <v>-3.5935349031143482</v>
      </c>
      <c r="G86">
        <v>2024</v>
      </c>
      <c r="H86" s="69">
        <v>8</v>
      </c>
      <c r="I86" s="66">
        <v>-480.79520184342789</v>
      </c>
      <c r="J86" s="66">
        <v>-1548.7114823465563</v>
      </c>
      <c r="M86">
        <v>2024</v>
      </c>
      <c r="N86" s="69">
        <v>9</v>
      </c>
      <c r="O86" s="66">
        <v>-3.2157126048454131E-2</v>
      </c>
      <c r="P86" s="66">
        <v>0.16184854852559158</v>
      </c>
      <c r="Q86" s="66">
        <v>-0.19400567457404569</v>
      </c>
    </row>
    <row r="87" spans="1:17" x14ac:dyDescent="0.25">
      <c r="A87">
        <v>2024</v>
      </c>
      <c r="B87" s="69">
        <v>7</v>
      </c>
      <c r="C87" s="66">
        <v>-0.93476537198585774</v>
      </c>
      <c r="D87" s="66">
        <v>2.3778647443964349</v>
      </c>
      <c r="E87" s="66">
        <v>-3.3126301163822931</v>
      </c>
      <c r="G87">
        <v>2024</v>
      </c>
      <c r="H87" s="69">
        <v>7</v>
      </c>
      <c r="I87" s="66">
        <v>-393.58459314631392</v>
      </c>
      <c r="J87" s="66">
        <v>-1424.5192379634011</v>
      </c>
      <c r="M87">
        <v>2024</v>
      </c>
      <c r="N87" s="69">
        <v>8</v>
      </c>
      <c r="O87" s="66">
        <v>-0.24425419810035176</v>
      </c>
      <c r="P87" s="66">
        <v>0.19419036562400194</v>
      </c>
      <c r="Q87" s="66">
        <v>-0.43844456372435375</v>
      </c>
    </row>
    <row r="88" spans="1:17" x14ac:dyDescent="0.25">
      <c r="A88">
        <v>2024</v>
      </c>
      <c r="B88" s="69">
        <v>6</v>
      </c>
      <c r="C88" s="66">
        <v>-0.8906311021808796</v>
      </c>
      <c r="D88" s="66">
        <v>2.3553444273546886</v>
      </c>
      <c r="E88" s="66">
        <v>-3.2459755295355688</v>
      </c>
      <c r="G88">
        <v>2024</v>
      </c>
      <c r="H88" s="69">
        <v>6</v>
      </c>
      <c r="I88" s="66">
        <v>-375.38058800549766</v>
      </c>
      <c r="J88" s="66">
        <v>-1394.5317963983814</v>
      </c>
      <c r="M88">
        <v>2024</v>
      </c>
      <c r="N88" s="69">
        <v>7</v>
      </c>
      <c r="O88" s="66">
        <v>8.2000046267342488E-2</v>
      </c>
      <c r="P88" s="66">
        <v>0.21507530396060698</v>
      </c>
      <c r="Q88" s="66">
        <v>-0.13307525769326445</v>
      </c>
    </row>
    <row r="89" spans="1:17" x14ac:dyDescent="0.25">
      <c r="A89">
        <v>2024</v>
      </c>
      <c r="B89" s="69">
        <v>5</v>
      </c>
      <c r="C89" s="66">
        <v>-0.93396005692152051</v>
      </c>
      <c r="D89" s="66">
        <v>2.3021528142350238</v>
      </c>
      <c r="E89" s="66">
        <v>-3.236112871156545</v>
      </c>
      <c r="G89">
        <v>2024</v>
      </c>
      <c r="H89" s="69">
        <v>5</v>
      </c>
      <c r="I89" s="66">
        <v>-395.43377333538172</v>
      </c>
      <c r="J89" s="66">
        <v>-1390.0380976051829</v>
      </c>
      <c r="M89">
        <v>2024</v>
      </c>
      <c r="N89" s="69">
        <v>6</v>
      </c>
      <c r="O89" s="66">
        <v>0.13558154583849361</v>
      </c>
      <c r="P89" s="66">
        <v>0.15930307648702005</v>
      </c>
      <c r="Q89" s="66">
        <v>-2.3721530648526442E-2</v>
      </c>
    </row>
    <row r="90" spans="1:17" x14ac:dyDescent="0.25">
      <c r="A90">
        <v>2024</v>
      </c>
      <c r="B90" s="69">
        <v>4</v>
      </c>
      <c r="C90" s="66">
        <v>-1.1134836577694684</v>
      </c>
      <c r="D90" s="66">
        <v>2.2655310355504255</v>
      </c>
      <c r="E90" s="66">
        <v>-3.3790146933198946</v>
      </c>
      <c r="G90">
        <v>2024</v>
      </c>
      <c r="H90" s="69">
        <v>4</v>
      </c>
      <c r="I90" s="66">
        <v>-476.3871400632197</v>
      </c>
      <c r="J90" s="66">
        <v>-1453.7653154781431</v>
      </c>
      <c r="M90">
        <v>2024</v>
      </c>
      <c r="N90" s="69">
        <v>5</v>
      </c>
      <c r="O90" s="66">
        <v>0.3442836765693556</v>
      </c>
      <c r="P90" s="66">
        <v>0.15277535501600059</v>
      </c>
      <c r="Q90" s="66">
        <v>0.19150832155335501</v>
      </c>
    </row>
    <row r="91" spans="1:17" x14ac:dyDescent="0.25">
      <c r="A91">
        <v>2024</v>
      </c>
      <c r="B91" s="69">
        <v>3</v>
      </c>
      <c r="C91" s="66">
        <v>-1.4925947671724895</v>
      </c>
      <c r="D91" s="66">
        <v>2.3644991849046049</v>
      </c>
      <c r="E91" s="66">
        <v>-3.8570939520770944</v>
      </c>
      <c r="G91">
        <v>2024</v>
      </c>
      <c r="H91" s="69">
        <v>3</v>
      </c>
      <c r="I91" s="66">
        <v>-646.12271358222824</v>
      </c>
      <c r="J91" s="66">
        <v>-1664.3768342984815</v>
      </c>
      <c r="M91">
        <v>2024</v>
      </c>
      <c r="N91" s="69">
        <v>4</v>
      </c>
      <c r="O91" s="66">
        <v>0.33785323584536914</v>
      </c>
      <c r="P91" s="66">
        <v>0.18430379868704452</v>
      </c>
      <c r="Q91" s="66">
        <v>0.15354943715832461</v>
      </c>
    </row>
    <row r="92" spans="1:17" x14ac:dyDescent="0.25">
      <c r="A92">
        <v>2024</v>
      </c>
      <c r="B92" s="69">
        <v>2</v>
      </c>
      <c r="C92" s="66">
        <v>-1.1955489001126529</v>
      </c>
      <c r="D92" s="66">
        <v>2.4202076199484224</v>
      </c>
      <c r="E92" s="66">
        <v>-3.6157565200610753</v>
      </c>
      <c r="G92">
        <v>2024</v>
      </c>
      <c r="H92" s="69">
        <v>2</v>
      </c>
      <c r="I92" s="66">
        <v>-507.11785938269333</v>
      </c>
      <c r="J92" s="66">
        <v>-1547.0116491995877</v>
      </c>
      <c r="M92">
        <v>2024</v>
      </c>
      <c r="N92" s="69">
        <v>3</v>
      </c>
      <c r="O92" s="66">
        <v>-0.51110438635992983</v>
      </c>
      <c r="P92" s="66">
        <v>0.14100257934734073</v>
      </c>
      <c r="Q92" s="66">
        <v>-0.65210696570727067</v>
      </c>
    </row>
    <row r="93" spans="1:17" x14ac:dyDescent="0.25">
      <c r="A93">
        <v>2024</v>
      </c>
      <c r="B93" s="69">
        <v>1</v>
      </c>
      <c r="C93" s="66">
        <v>-1.1753683286019467</v>
      </c>
      <c r="D93" s="66">
        <v>2.5356597275098678</v>
      </c>
      <c r="E93" s="66">
        <v>-3.7110280561118145</v>
      </c>
      <c r="G93">
        <v>2024</v>
      </c>
      <c r="H93" s="69">
        <v>1</v>
      </c>
      <c r="I93" s="66">
        <v>-493.62378270876468</v>
      </c>
      <c r="J93" s="66">
        <v>-1581.5799322938935</v>
      </c>
      <c r="M93">
        <v>2024</v>
      </c>
      <c r="N93" s="69">
        <v>2</v>
      </c>
      <c r="O93" s="66">
        <v>-0.17789553249363355</v>
      </c>
      <c r="P93" s="66">
        <v>5.5574339671720881E-2</v>
      </c>
      <c r="Q93" s="66">
        <v>-0.23346987216535442</v>
      </c>
    </row>
    <row r="94" spans="1:17" x14ac:dyDescent="0.25">
      <c r="M94">
        <v>2024</v>
      </c>
      <c r="N94" s="69">
        <v>1</v>
      </c>
      <c r="O94" s="66">
        <v>0.30140555252156809</v>
      </c>
      <c r="P94" s="66">
        <v>1.1138040465657651E-2</v>
      </c>
      <c r="Q94" s="66">
        <v>0.2902675120559105</v>
      </c>
    </row>
    <row r="137" spans="1:22" x14ac:dyDescent="0.25">
      <c r="A137" s="67" t="s">
        <v>67</v>
      </c>
      <c r="B137" t="s">
        <v>209</v>
      </c>
      <c r="F137" s="67" t="s">
        <v>67</v>
      </c>
      <c r="G137" t="s">
        <v>209</v>
      </c>
    </row>
    <row r="139" spans="1:22" x14ac:dyDescent="0.25">
      <c r="A139" s="67" t="s">
        <v>68</v>
      </c>
      <c r="B139" s="67" t="s">
        <v>95</v>
      </c>
      <c r="C139" t="s">
        <v>210</v>
      </c>
      <c r="D139" t="s">
        <v>213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10</v>
      </c>
      <c r="C140" s="66">
        <v>962.97936641427043</v>
      </c>
      <c r="D140" s="66">
        <v>1229.2380992476822</v>
      </c>
      <c r="F140">
        <v>2021</v>
      </c>
      <c r="G140" s="69">
        <v>10</v>
      </c>
      <c r="H140" s="66">
        <v>8397.5232450079984</v>
      </c>
    </row>
    <row r="141" spans="1:22" x14ac:dyDescent="0.25">
      <c r="A141">
        <v>2021</v>
      </c>
      <c r="B141" s="69">
        <v>9</v>
      </c>
      <c r="C141" s="66">
        <v>941.73470128002737</v>
      </c>
      <c r="D141" s="66">
        <v>1207.22889906449</v>
      </c>
      <c r="F141">
        <v>2021</v>
      </c>
      <c r="G141" s="69">
        <v>9</v>
      </c>
      <c r="H141" s="66">
        <v>8255.9465725169994</v>
      </c>
    </row>
    <row r="142" spans="1:22" x14ac:dyDescent="0.25">
      <c r="A142">
        <v>2021</v>
      </c>
      <c r="B142" s="69">
        <v>8</v>
      </c>
      <c r="C142" s="66">
        <v>918.30178433467995</v>
      </c>
      <c r="D142" s="66">
        <v>1181.4475975636581</v>
      </c>
      <c r="F142">
        <v>2021</v>
      </c>
      <c r="G142" s="69">
        <v>8</v>
      </c>
      <c r="H142" s="66">
        <v>8085.6461318249994</v>
      </c>
    </row>
    <row r="143" spans="1:22" x14ac:dyDescent="0.25">
      <c r="A143">
        <v>2021</v>
      </c>
      <c r="B143" s="69">
        <v>7</v>
      </c>
      <c r="C143" s="66">
        <v>912.98822825899902</v>
      </c>
      <c r="D143" s="66">
        <v>1175.5358489793114</v>
      </c>
      <c r="F143">
        <v>2021</v>
      </c>
      <c r="G143" s="69">
        <v>7</v>
      </c>
      <c r="H143" s="66">
        <v>8046.3719532329987</v>
      </c>
    </row>
    <row r="144" spans="1:22" x14ac:dyDescent="0.25">
      <c r="A144">
        <v>2021</v>
      </c>
      <c r="B144" s="69">
        <v>6</v>
      </c>
      <c r="C144" s="66">
        <v>923.21682157713531</v>
      </c>
      <c r="D144" s="66">
        <v>1181.265270231816</v>
      </c>
      <c r="F144">
        <v>2021</v>
      </c>
      <c r="G144" s="69">
        <v>6</v>
      </c>
      <c r="H144" s="66">
        <v>8091.0532406115981</v>
      </c>
    </row>
    <row r="145" spans="1:8" x14ac:dyDescent="0.25">
      <c r="A145">
        <v>2021</v>
      </c>
      <c r="B145" s="69">
        <v>5</v>
      </c>
      <c r="C145" s="66">
        <v>936.44726461840617</v>
      </c>
      <c r="D145" s="66">
        <v>1186.4169394439289</v>
      </c>
      <c r="F145">
        <v>2021</v>
      </c>
      <c r="G145" s="69">
        <v>5</v>
      </c>
      <c r="H145" s="66">
        <v>8122.3945286485978</v>
      </c>
    </row>
    <row r="146" spans="1:8" x14ac:dyDescent="0.25">
      <c r="A146">
        <v>2021</v>
      </c>
      <c r="B146" s="69">
        <v>4</v>
      </c>
      <c r="C146" s="66">
        <v>958.70660515170403</v>
      </c>
      <c r="D146" s="66">
        <v>1200.7297768775879</v>
      </c>
      <c r="F146">
        <v>2021</v>
      </c>
      <c r="G146" s="69">
        <v>4</v>
      </c>
      <c r="H146" s="66">
        <v>8208.1988158235963</v>
      </c>
    </row>
    <row r="147" spans="1:8" x14ac:dyDescent="0.25">
      <c r="A147">
        <v>2021</v>
      </c>
      <c r="B147" s="69">
        <v>3</v>
      </c>
      <c r="C147" s="66">
        <v>974.82052520880688</v>
      </c>
      <c r="D147" s="66">
        <v>1207.5274526769026</v>
      </c>
      <c r="F147">
        <v>2021</v>
      </c>
      <c r="G147" s="69">
        <v>3</v>
      </c>
      <c r="H147" s="66">
        <v>8261.3267275145972</v>
      </c>
    </row>
    <row r="148" spans="1:8" x14ac:dyDescent="0.25">
      <c r="A148">
        <v>2021</v>
      </c>
      <c r="B148" s="69">
        <v>2</v>
      </c>
      <c r="C148" s="66">
        <v>1053.1322847108793</v>
      </c>
      <c r="D148" s="66">
        <v>1288.8053308683336</v>
      </c>
      <c r="F148">
        <v>2021</v>
      </c>
      <c r="G148" s="69">
        <v>2</v>
      </c>
      <c r="H148" s="66">
        <v>8798.9637149388673</v>
      </c>
    </row>
    <row r="149" spans="1:8" x14ac:dyDescent="0.25">
      <c r="A149">
        <v>2021</v>
      </c>
      <c r="B149" s="69">
        <v>1</v>
      </c>
      <c r="C149" s="66">
        <v>1059.6970639411622</v>
      </c>
      <c r="D149" s="66">
        <v>1301.1761702428826</v>
      </c>
      <c r="F149">
        <v>2021</v>
      </c>
      <c r="G149" s="69">
        <v>1</v>
      </c>
      <c r="H149" s="66">
        <v>8871.9328203418663</v>
      </c>
    </row>
    <row r="150" spans="1:8" x14ac:dyDescent="0.25">
      <c r="A150">
        <v>2022</v>
      </c>
      <c r="B150" s="69">
        <v>10</v>
      </c>
      <c r="C150" s="66">
        <v>918.04669337836015</v>
      </c>
      <c r="D150" s="66">
        <v>1262.8443469320812</v>
      </c>
      <c r="F150">
        <v>2022</v>
      </c>
      <c r="G150" s="69">
        <v>10</v>
      </c>
      <c r="H150" s="66">
        <v>8733.7462641259735</v>
      </c>
    </row>
    <row r="151" spans="1:8" x14ac:dyDescent="0.25">
      <c r="A151">
        <v>2022</v>
      </c>
      <c r="B151" s="69">
        <v>9</v>
      </c>
      <c r="C151" s="66">
        <v>899.97317169953737</v>
      </c>
      <c r="D151" s="66">
        <v>1231.1982052616979</v>
      </c>
      <c r="F151">
        <v>2022</v>
      </c>
      <c r="G151" s="69">
        <v>9</v>
      </c>
      <c r="H151" s="66">
        <v>8475.4492793879726</v>
      </c>
    </row>
    <row r="152" spans="1:8" x14ac:dyDescent="0.25">
      <c r="A152">
        <v>2022</v>
      </c>
      <c r="B152" s="69">
        <v>8</v>
      </c>
      <c r="C152" s="66">
        <v>936.01682877655207</v>
      </c>
      <c r="D152" s="66">
        <v>1251.0443451903268</v>
      </c>
      <c r="F152">
        <v>2022</v>
      </c>
      <c r="G152" s="69">
        <v>8</v>
      </c>
      <c r="H152" s="66">
        <v>8605.2954563399726</v>
      </c>
    </row>
    <row r="153" spans="1:8" x14ac:dyDescent="0.25">
      <c r="A153">
        <v>2022</v>
      </c>
      <c r="B153" s="69">
        <v>7</v>
      </c>
      <c r="C153" s="66">
        <v>933.57990761208168</v>
      </c>
      <c r="D153" s="66">
        <v>1235.008938905235</v>
      </c>
      <c r="F153">
        <v>2022</v>
      </c>
      <c r="G153" s="69">
        <v>7</v>
      </c>
      <c r="H153" s="66">
        <v>8498.919545506973</v>
      </c>
    </row>
    <row r="154" spans="1:8" x14ac:dyDescent="0.25">
      <c r="A154">
        <v>2022</v>
      </c>
      <c r="B154" s="69">
        <v>6</v>
      </c>
      <c r="C154" s="66">
        <v>951.78848370493279</v>
      </c>
      <c r="D154" s="66">
        <v>1244.541731172709</v>
      </c>
      <c r="F154">
        <v>2022</v>
      </c>
      <c r="G154" s="69">
        <v>6</v>
      </c>
      <c r="H154" s="66">
        <v>8562.416655409972</v>
      </c>
    </row>
    <row r="155" spans="1:8" x14ac:dyDescent="0.25">
      <c r="A155">
        <v>2022</v>
      </c>
      <c r="B155" s="69">
        <v>5</v>
      </c>
      <c r="C155" s="66">
        <v>942.53628598361308</v>
      </c>
      <c r="D155" s="66">
        <v>1225.1825160813648</v>
      </c>
      <c r="F155">
        <v>2022</v>
      </c>
      <c r="G155" s="69">
        <v>5</v>
      </c>
      <c r="H155" s="66">
        <v>8419.4980260049979</v>
      </c>
    </row>
    <row r="156" spans="1:8" x14ac:dyDescent="0.25">
      <c r="A156">
        <v>2022</v>
      </c>
      <c r="B156" s="69">
        <v>4</v>
      </c>
      <c r="C156" s="66">
        <v>945.25283935296432</v>
      </c>
      <c r="D156" s="66">
        <v>1226.6641085274655</v>
      </c>
      <c r="F156">
        <v>2022</v>
      </c>
      <c r="G156" s="69">
        <v>4</v>
      </c>
      <c r="H156" s="66">
        <v>8420.633531342999</v>
      </c>
    </row>
    <row r="157" spans="1:8" x14ac:dyDescent="0.25">
      <c r="A157">
        <v>2022</v>
      </c>
      <c r="B157" s="69">
        <v>3</v>
      </c>
      <c r="C157" s="66">
        <v>950.81820990499682</v>
      </c>
      <c r="D157" s="66">
        <v>1223.1532455670572</v>
      </c>
      <c r="F157">
        <v>2022</v>
      </c>
      <c r="G157" s="69">
        <v>3</v>
      </c>
      <c r="H157" s="66">
        <v>8357.2040744119986</v>
      </c>
    </row>
    <row r="158" spans="1:8" x14ac:dyDescent="0.25">
      <c r="A158">
        <v>2022</v>
      </c>
      <c r="B158" s="69">
        <v>2</v>
      </c>
      <c r="C158" s="66">
        <v>926.41725765913588</v>
      </c>
      <c r="D158" s="66">
        <v>1194.7467412946628</v>
      </c>
      <c r="F158">
        <v>2022</v>
      </c>
      <c r="G158" s="69">
        <v>2</v>
      </c>
      <c r="H158" s="66">
        <v>8123.8609302329996</v>
      </c>
    </row>
    <row r="159" spans="1:8" x14ac:dyDescent="0.25">
      <c r="A159">
        <v>2022</v>
      </c>
      <c r="B159" s="69">
        <v>1</v>
      </c>
      <c r="C159" s="66">
        <v>862.98822388852909</v>
      </c>
      <c r="D159" s="66">
        <v>1131.8475975359106</v>
      </c>
      <c r="F159">
        <v>2022</v>
      </c>
      <c r="G159" s="69">
        <v>1</v>
      </c>
      <c r="H159" s="66">
        <v>7676.4114603399994</v>
      </c>
    </row>
    <row r="160" spans="1:8" x14ac:dyDescent="0.25">
      <c r="A160">
        <v>2023</v>
      </c>
      <c r="B160" s="69">
        <v>10</v>
      </c>
      <c r="C160" s="66">
        <v>684.50449492342761</v>
      </c>
      <c r="D160" s="66">
        <v>958.40582525230434</v>
      </c>
      <c r="F160">
        <v>2023</v>
      </c>
      <c r="G160" s="69">
        <v>10</v>
      </c>
      <c r="H160" s="66">
        <v>6947.415507484</v>
      </c>
    </row>
    <row r="161" spans="1:8" x14ac:dyDescent="0.25">
      <c r="A161">
        <v>2023</v>
      </c>
      <c r="B161" s="69">
        <v>9</v>
      </c>
      <c r="C161" s="66">
        <v>726.01906992001295</v>
      </c>
      <c r="D161" s="66">
        <v>1016.4772294867981</v>
      </c>
      <c r="F161">
        <v>2023</v>
      </c>
      <c r="G161" s="69">
        <v>9</v>
      </c>
      <c r="H161" s="66">
        <v>7345.6488628299994</v>
      </c>
    </row>
    <row r="162" spans="1:8" x14ac:dyDescent="0.25">
      <c r="A162">
        <v>2023</v>
      </c>
      <c r="B162" s="69">
        <v>8</v>
      </c>
      <c r="C162" s="66">
        <v>755.67143774820249</v>
      </c>
      <c r="D162" s="66">
        <v>1073.7551636126511</v>
      </c>
      <c r="F162">
        <v>2023</v>
      </c>
      <c r="G162" s="69">
        <v>8</v>
      </c>
      <c r="H162" s="66">
        <v>7734.1455853179996</v>
      </c>
    </row>
    <row r="163" spans="1:8" x14ac:dyDescent="0.25">
      <c r="A163">
        <v>2023</v>
      </c>
      <c r="B163" s="69">
        <v>7</v>
      </c>
      <c r="C163" s="66">
        <v>785.53494917084299</v>
      </c>
      <c r="D163" s="66">
        <v>1115.9628167902531</v>
      </c>
      <c r="F163">
        <v>2023</v>
      </c>
      <c r="G163" s="69">
        <v>7</v>
      </c>
      <c r="H163" s="66">
        <v>8005.1386765069992</v>
      </c>
    </row>
    <row r="164" spans="1:8" x14ac:dyDescent="0.25">
      <c r="A164">
        <v>2023</v>
      </c>
      <c r="B164" s="69">
        <v>6</v>
      </c>
      <c r="C164" s="66">
        <v>788.64383952377477</v>
      </c>
      <c r="D164" s="66">
        <v>1121.4171470468361</v>
      </c>
      <c r="F164">
        <v>2023</v>
      </c>
      <c r="G164" s="69">
        <v>6</v>
      </c>
      <c r="H164" s="66">
        <v>8009.0863417629989</v>
      </c>
    </row>
    <row r="165" spans="1:8" x14ac:dyDescent="0.25">
      <c r="A165">
        <v>2023</v>
      </c>
      <c r="B165" s="69">
        <v>5</v>
      </c>
      <c r="C165" s="66">
        <v>836.56633832215175</v>
      </c>
      <c r="D165" s="66">
        <v>1184.3194153582931</v>
      </c>
      <c r="F165">
        <v>2023</v>
      </c>
      <c r="G165" s="69">
        <v>5</v>
      </c>
      <c r="H165" s="66">
        <v>8422.4469063949728</v>
      </c>
    </row>
    <row r="166" spans="1:8" x14ac:dyDescent="0.25">
      <c r="A166">
        <v>2023</v>
      </c>
      <c r="B166" s="69">
        <v>4</v>
      </c>
      <c r="C166" s="66">
        <v>849.77867212354715</v>
      </c>
      <c r="D166" s="66">
        <v>1198.970659013346</v>
      </c>
      <c r="F166">
        <v>2023</v>
      </c>
      <c r="G166" s="69">
        <v>4</v>
      </c>
      <c r="H166" s="66">
        <v>8504.9420276649726</v>
      </c>
    </row>
    <row r="167" spans="1:8" x14ac:dyDescent="0.25">
      <c r="A167">
        <v>2023</v>
      </c>
      <c r="B167" s="69">
        <v>3</v>
      </c>
      <c r="C167" s="66">
        <v>802.24414003294692</v>
      </c>
      <c r="D167" s="66">
        <v>1168.079572261719</v>
      </c>
      <c r="F167">
        <v>2023</v>
      </c>
      <c r="G167" s="69">
        <v>3</v>
      </c>
      <c r="H167" s="66">
        <v>8253.577307148973</v>
      </c>
    </row>
    <row r="168" spans="1:8" x14ac:dyDescent="0.25">
      <c r="A168">
        <v>2023</v>
      </c>
      <c r="B168" s="69">
        <v>2</v>
      </c>
      <c r="C168" s="66">
        <v>826.45494089268846</v>
      </c>
      <c r="D168" s="66">
        <v>1194.7676810551238</v>
      </c>
      <c r="F168">
        <v>2023</v>
      </c>
      <c r="G168" s="69">
        <v>2</v>
      </c>
      <c r="H168" s="66">
        <v>8420.3949454869726</v>
      </c>
    </row>
    <row r="169" spans="1:8" x14ac:dyDescent="0.25">
      <c r="A169">
        <v>2023</v>
      </c>
      <c r="B169" s="69">
        <v>1</v>
      </c>
      <c r="C169" s="66">
        <v>855.27072588603892</v>
      </c>
      <c r="D169" s="66">
        <v>1222.4421683268827</v>
      </c>
      <c r="F169">
        <v>2023</v>
      </c>
      <c r="G169" s="69">
        <v>1</v>
      </c>
      <c r="H169" s="66">
        <v>8589.2474462449736</v>
      </c>
    </row>
    <row r="170" spans="1:8" x14ac:dyDescent="0.25">
      <c r="A170">
        <v>2024</v>
      </c>
      <c r="B170" s="69">
        <v>10</v>
      </c>
      <c r="C170" s="66">
        <v>844.89133805294216</v>
      </c>
      <c r="D170" s="66">
        <v>1086.5802107942291</v>
      </c>
      <c r="F170">
        <v>2024</v>
      </c>
      <c r="G170" s="69">
        <v>10</v>
      </c>
      <c r="H170" s="66">
        <v>8124.4085024489996</v>
      </c>
    </row>
    <row r="171" spans="1:8" x14ac:dyDescent="0.25">
      <c r="A171">
        <v>2024</v>
      </c>
      <c r="B171" s="69">
        <v>9</v>
      </c>
      <c r="C171" s="66">
        <v>864.88886369327599</v>
      </c>
      <c r="D171" s="66">
        <v>1100.8821532689044</v>
      </c>
      <c r="F171">
        <v>2024</v>
      </c>
      <c r="G171" s="69">
        <v>9</v>
      </c>
      <c r="H171" s="66">
        <v>8193.9777676760004</v>
      </c>
    </row>
    <row r="172" spans="1:8" x14ac:dyDescent="0.25">
      <c r="A172">
        <v>2024</v>
      </c>
      <c r="B172" s="69">
        <v>8</v>
      </c>
      <c r="C172" s="66">
        <v>838.979146515303</v>
      </c>
      <c r="D172" s="66">
        <v>1067.9162805031281</v>
      </c>
      <c r="F172">
        <v>2024</v>
      </c>
      <c r="G172" s="69">
        <v>8</v>
      </c>
      <c r="H172" s="66">
        <v>7920.2509907469994</v>
      </c>
    </row>
    <row r="173" spans="1:8" x14ac:dyDescent="0.25">
      <c r="A173">
        <v>2024</v>
      </c>
      <c r="B173" s="69">
        <v>7</v>
      </c>
      <c r="C173" s="66">
        <v>803.8561368058663</v>
      </c>
      <c r="D173" s="66">
        <v>1030.934644817087</v>
      </c>
      <c r="F173">
        <v>2024</v>
      </c>
      <c r="G173" s="69">
        <v>7</v>
      </c>
      <c r="H173" s="66">
        <v>7623.9870538190007</v>
      </c>
    </row>
    <row r="174" spans="1:8" x14ac:dyDescent="0.25">
      <c r="A174">
        <v>2024</v>
      </c>
      <c r="B174" s="69">
        <v>6</v>
      </c>
      <c r="C174" s="66">
        <v>787.93605666233918</v>
      </c>
      <c r="D174" s="66">
        <v>1019.1512083928836</v>
      </c>
      <c r="F174">
        <v>2024</v>
      </c>
      <c r="G174" s="69">
        <v>6</v>
      </c>
      <c r="H174" s="66">
        <v>7511.590163547</v>
      </c>
    </row>
    <row r="175" spans="1:8" x14ac:dyDescent="0.25">
      <c r="A175">
        <v>2024</v>
      </c>
      <c r="B175" s="69">
        <v>5</v>
      </c>
      <c r="C175" s="66">
        <v>772.25378229705859</v>
      </c>
      <c r="D175" s="66">
        <v>994.60432426980105</v>
      </c>
      <c r="F175">
        <v>2024</v>
      </c>
      <c r="G175" s="69">
        <v>5</v>
      </c>
      <c r="H175" s="66">
        <v>7314.0249025189996</v>
      </c>
    </row>
    <row r="176" spans="1:8" x14ac:dyDescent="0.25">
      <c r="A176">
        <v>2024</v>
      </c>
      <c r="B176" s="69">
        <v>4</v>
      </c>
      <c r="C176" s="66">
        <v>754.93903777228297</v>
      </c>
      <c r="D176" s="66">
        <v>977.37817541492325</v>
      </c>
      <c r="F176">
        <v>2024</v>
      </c>
      <c r="G176" s="69">
        <v>4</v>
      </c>
      <c r="H176" s="66">
        <v>7169.610256986999</v>
      </c>
    </row>
    <row r="177" spans="1:8" x14ac:dyDescent="0.25">
      <c r="A177">
        <v>2024</v>
      </c>
      <c r="B177" s="69">
        <v>3</v>
      </c>
      <c r="C177" s="66">
        <v>800.43907243447779</v>
      </c>
      <c r="D177" s="66">
        <v>1018.2541207162531</v>
      </c>
      <c r="F177">
        <v>2024</v>
      </c>
      <c r="G177" s="69">
        <v>3</v>
      </c>
      <c r="H177" s="66">
        <v>7443.5804879140005</v>
      </c>
    </row>
    <row r="178" spans="1:8" x14ac:dyDescent="0.25">
      <c r="A178">
        <v>2024</v>
      </c>
      <c r="B178" s="69">
        <v>2</v>
      </c>
      <c r="C178" s="66">
        <v>818.99254791984254</v>
      </c>
      <c r="D178" s="66">
        <v>1039.8937898168945</v>
      </c>
      <c r="F178">
        <v>2024</v>
      </c>
      <c r="G178" s="69">
        <v>2</v>
      </c>
      <c r="H178" s="66">
        <v>7590.5398619670004</v>
      </c>
    </row>
    <row r="179" spans="1:8" x14ac:dyDescent="0.25">
      <c r="A179">
        <v>2024</v>
      </c>
      <c r="B179" s="69">
        <v>1</v>
      </c>
      <c r="C179" s="66">
        <v>867.89565939354156</v>
      </c>
      <c r="D179" s="66">
        <v>1087.9561495851285</v>
      </c>
      <c r="F179">
        <v>2024</v>
      </c>
      <c r="G179" s="69">
        <v>1</v>
      </c>
      <c r="H179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X2" activePane="bottomRight" state="frozen"/>
      <selection activeCell="P30" sqref="P30"/>
      <selection pane="topRight" activeCell="P30" sqref="P30"/>
      <selection pane="bottomLeft" activeCell="P30" sqref="P30"/>
      <selection pane="bottomRight" activeCell="IZ6" sqref="IZ6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5280.9667066130005</v>
      </c>
      <c r="IX2" s="158">
        <v>5401.0182893279998</v>
      </c>
      <c r="IY2" s="158">
        <v>4396.6861224169998</v>
      </c>
      <c r="IZ2" s="158">
        <v>4743.8921766940002</v>
      </c>
      <c r="JA2" s="158">
        <v>3531.4488884879997</v>
      </c>
      <c r="JB2" s="158">
        <v>4431.2008943210003</v>
      </c>
      <c r="JC2" s="158">
        <v>3981.7974857539998</v>
      </c>
      <c r="JD2" s="158"/>
      <c r="JE2" s="158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4063.1005273820001</v>
      </c>
      <c r="IX4" s="159">
        <v>4387.6120386270004</v>
      </c>
      <c r="IY4" s="159">
        <v>2655.7522247849997</v>
      </c>
      <c r="IZ4" s="159">
        <v>3659.0060726440001</v>
      </c>
      <c r="JA4" s="159">
        <v>2638.0364757970001</v>
      </c>
      <c r="JB4" s="159">
        <v>3463.2350112230001</v>
      </c>
      <c r="JC4" s="159">
        <v>2938.4754179310003</v>
      </c>
      <c r="JD4" s="159"/>
      <c r="JE4" s="159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1832.8138256409998</v>
      </c>
      <c r="IX5" s="158">
        <v>1958.8730648890003</v>
      </c>
      <c r="IY5" s="158">
        <v>471.63238458200004</v>
      </c>
      <c r="IZ5" s="158">
        <v>1216.1492806889999</v>
      </c>
      <c r="JA5" s="158">
        <v>394.11385517100001</v>
      </c>
      <c r="JB5" s="158">
        <v>1167.1231136920001</v>
      </c>
      <c r="JC5" s="158">
        <v>34.826038913000005</v>
      </c>
      <c r="JD5" s="158"/>
      <c r="JE5" s="158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1878.9974349710001</v>
      </c>
      <c r="IX6" s="158">
        <v>2047.9512028339998</v>
      </c>
      <c r="IY6" s="158">
        <v>1855.2041216919999</v>
      </c>
      <c r="IZ6" s="158">
        <v>2060.4742121450004</v>
      </c>
      <c r="JA6" s="158">
        <v>1869.8297704280001</v>
      </c>
      <c r="JB6" s="158">
        <v>1918.2001741499998</v>
      </c>
      <c r="JC6" s="158">
        <v>36.975280135000006</v>
      </c>
      <c r="JD6" s="158"/>
      <c r="JE6" s="158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1566.3167883440001</v>
      </c>
      <c r="IX7" s="158">
        <v>1669.0615722639998</v>
      </c>
      <c r="IY7" s="158">
        <v>1555.3011958709999</v>
      </c>
      <c r="IZ7" s="158">
        <v>1708.6953278380001</v>
      </c>
      <c r="JA7" s="158">
        <v>1627.1372569910002</v>
      </c>
      <c r="JB7" s="158">
        <v>1615.3921933639999</v>
      </c>
      <c r="JC7" s="158">
        <v>36.927100135000003</v>
      </c>
      <c r="JD7" s="158"/>
      <c r="JE7" s="158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312.68064662699993</v>
      </c>
      <c r="IX8" s="158">
        <v>378.88963056999995</v>
      </c>
      <c r="IY8" s="158">
        <v>299.902925821</v>
      </c>
      <c r="IZ8" s="158">
        <v>351.77888430700011</v>
      </c>
      <c r="JA8" s="158">
        <v>242.69251343699997</v>
      </c>
      <c r="JB8" s="158">
        <v>302.80798078599997</v>
      </c>
      <c r="JC8" s="158">
        <v>4.8180000000000292E-2</v>
      </c>
      <c r="JD8" s="158"/>
      <c r="JE8" s="158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>
        <v>0</v>
      </c>
      <c r="IY9" s="158">
        <v>0</v>
      </c>
      <c r="IZ9" s="158">
        <v>0</v>
      </c>
      <c r="JA9" s="158">
        <v>0</v>
      </c>
      <c r="JB9" s="158">
        <v>0</v>
      </c>
      <c r="JC9" s="158">
        <v>0</v>
      </c>
      <c r="JD9" s="158"/>
      <c r="JE9" s="158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>
        <v>308.83135244300001</v>
      </c>
      <c r="IY10" s="158">
        <v>254.30489454599999</v>
      </c>
      <c r="IZ10" s="158">
        <v>316.32437397099994</v>
      </c>
      <c r="JA10" s="158">
        <v>309.60917598499998</v>
      </c>
      <c r="JB10" s="158">
        <v>316.59926093199999</v>
      </c>
      <c r="JC10" s="158">
        <v>387.07070323300002</v>
      </c>
      <c r="JD10" s="158"/>
      <c r="JE10" s="158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61.828527043000008</v>
      </c>
      <c r="IX11" s="158">
        <v>71.956418460999998</v>
      </c>
      <c r="IY11" s="158">
        <v>74.610823964999994</v>
      </c>
      <c r="IZ11" s="158">
        <v>66.058205838999996</v>
      </c>
      <c r="JA11" s="158">
        <v>64.483674213</v>
      </c>
      <c r="JB11" s="158">
        <v>61.312462449000002</v>
      </c>
      <c r="JC11" s="158">
        <v>2479.60339565</v>
      </c>
      <c r="JD11" s="158"/>
      <c r="JE11" s="158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>
        <v>259.91833523700001</v>
      </c>
      <c r="IY13" s="158">
        <v>252.199702183</v>
      </c>
      <c r="IZ13" s="158">
        <v>290.76578039700001</v>
      </c>
      <c r="JA13" s="158">
        <v>261.51274837</v>
      </c>
      <c r="JB13" s="158">
        <v>261.46539940299999</v>
      </c>
      <c r="JC13" s="158">
        <v>278.58991820699998</v>
      </c>
      <c r="JD13" s="158"/>
      <c r="JE13" s="158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321.20730355900002</v>
      </c>
      <c r="IX15" s="158">
        <v>155.119391001</v>
      </c>
      <c r="IY15" s="158">
        <v>115.63039133999999</v>
      </c>
      <c r="IZ15" s="158">
        <v>227.37097505699998</v>
      </c>
      <c r="JA15" s="158">
        <v>144.35493190900002</v>
      </c>
      <c r="JB15" s="158">
        <v>133.323971091</v>
      </c>
      <c r="JC15" s="158">
        <v>136.672912569</v>
      </c>
      <c r="JD15" s="158"/>
      <c r="JE15" s="158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>
        <v>0</v>
      </c>
      <c r="IY16" s="158">
        <v>0</v>
      </c>
      <c r="IZ16" s="158">
        <v>9.2199513769999992</v>
      </c>
      <c r="JA16" s="158">
        <v>9.9371759100000006</v>
      </c>
      <c r="JB16" s="158">
        <v>0</v>
      </c>
      <c r="JC16" s="158">
        <v>16.103083534</v>
      </c>
      <c r="JD16" s="158"/>
      <c r="JE16" s="158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>
        <v>0</v>
      </c>
      <c r="IY17" s="158">
        <v>0</v>
      </c>
      <c r="IZ17" s="158">
        <v>0</v>
      </c>
      <c r="JA17" s="158">
        <v>0</v>
      </c>
      <c r="JB17" s="158">
        <v>0</v>
      </c>
      <c r="JC17" s="158">
        <v>0</v>
      </c>
      <c r="JD17" s="158"/>
      <c r="JE17" s="158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>
        <v>0</v>
      </c>
      <c r="IY18" s="158">
        <v>0</v>
      </c>
      <c r="IZ18" s="158">
        <v>9.2199513769999992</v>
      </c>
      <c r="JA18" s="158">
        <v>9.9371759100000006</v>
      </c>
      <c r="JB18" s="158">
        <v>0</v>
      </c>
      <c r="JC18" s="158">
        <v>16.103083534</v>
      </c>
      <c r="JD18" s="158"/>
      <c r="JE18" s="158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>
        <v>0</v>
      </c>
      <c r="IY19" s="158">
        <v>0</v>
      </c>
      <c r="IZ19" s="158">
        <v>0</v>
      </c>
      <c r="JA19" s="158">
        <v>0</v>
      </c>
      <c r="JB19" s="158">
        <v>0</v>
      </c>
      <c r="JC19" s="158">
        <v>0</v>
      </c>
      <c r="JD19" s="158"/>
      <c r="JE19" s="158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>
        <v>0</v>
      </c>
      <c r="IY20" s="158">
        <v>0</v>
      </c>
      <c r="IZ20" s="158">
        <v>0</v>
      </c>
      <c r="JA20" s="158">
        <v>0</v>
      </c>
      <c r="JB20" s="158">
        <v>0</v>
      </c>
      <c r="JC20" s="158">
        <v>0</v>
      </c>
      <c r="JD20" s="158"/>
      <c r="JE20" s="158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>
        <v>0</v>
      </c>
      <c r="IY21" s="158">
        <v>0</v>
      </c>
      <c r="IZ21" s="158">
        <v>0</v>
      </c>
      <c r="JA21" s="158">
        <v>0</v>
      </c>
      <c r="JB21" s="158">
        <v>0</v>
      </c>
      <c r="JC21" s="158">
        <v>0</v>
      </c>
      <c r="JD21" s="158"/>
      <c r="JE21" s="158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168.69276188400002</v>
      </c>
      <c r="IX22" s="158">
        <v>155.119391001</v>
      </c>
      <c r="IY22" s="158">
        <v>115.63039133999999</v>
      </c>
      <c r="IZ22" s="158">
        <v>218.15102367999998</v>
      </c>
      <c r="JA22" s="158">
        <v>134.41775599900001</v>
      </c>
      <c r="JB22" s="158">
        <v>133.323971091</v>
      </c>
      <c r="JC22" s="158">
        <v>120.56982903500001</v>
      </c>
      <c r="JD22" s="158"/>
      <c r="JE22" s="158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168.69276188400002</v>
      </c>
      <c r="IX23" s="158">
        <v>155.119391001</v>
      </c>
      <c r="IY23" s="158">
        <v>115.63039133999999</v>
      </c>
      <c r="IZ23" s="158">
        <v>218.15102367999998</v>
      </c>
      <c r="JA23" s="158">
        <v>134.41775599900001</v>
      </c>
      <c r="JB23" s="158">
        <v>133.323971091</v>
      </c>
      <c r="JC23" s="158">
        <v>120.56982903500001</v>
      </c>
      <c r="JD23" s="158"/>
      <c r="JE23" s="158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>
        <v>0</v>
      </c>
      <c r="IY24" s="158">
        <v>0</v>
      </c>
      <c r="IZ24" s="158">
        <v>0</v>
      </c>
      <c r="JA24" s="158">
        <v>0</v>
      </c>
      <c r="JB24" s="158">
        <v>0</v>
      </c>
      <c r="JC24" s="158">
        <v>0</v>
      </c>
      <c r="JD24" s="158"/>
      <c r="JE24" s="158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638.06314163599995</v>
      </c>
      <c r="IX25" s="158">
        <v>598.36852446299997</v>
      </c>
      <c r="IY25" s="158">
        <v>1373.1038041090003</v>
      </c>
      <c r="IZ25" s="158">
        <v>566.74934859599989</v>
      </c>
      <c r="JA25" s="158">
        <v>487.54473241199997</v>
      </c>
      <c r="JB25" s="158">
        <v>573.1765126040001</v>
      </c>
      <c r="JC25" s="158">
        <v>628.05923704700001</v>
      </c>
      <c r="JD25" s="158"/>
      <c r="JE25" s="158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243.67858527300001</v>
      </c>
      <c r="IX26" s="158">
        <v>174.11222708100001</v>
      </c>
      <c r="IY26" s="158">
        <v>229.74617377100003</v>
      </c>
      <c r="IZ26" s="158">
        <v>631.07370862599987</v>
      </c>
      <c r="JA26" s="158">
        <v>185.457041129</v>
      </c>
      <c r="JB26" s="158">
        <v>249.57616945699999</v>
      </c>
      <c r="JC26" s="158">
        <v>197.75372221600003</v>
      </c>
      <c r="JD26" s="158"/>
      <c r="JE26" s="158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>
        <v>168.53982335500001</v>
      </c>
      <c r="IY27" s="160">
        <v>162.734087905</v>
      </c>
      <c r="IZ27" s="160">
        <v>579.475869708</v>
      </c>
      <c r="JA27" s="160">
        <v>161.26296316400001</v>
      </c>
      <c r="JB27" s="160">
        <v>223.12356598099998</v>
      </c>
      <c r="JC27" s="160">
        <v>186.97751721700001</v>
      </c>
      <c r="JD27" s="160"/>
      <c r="JE27" s="160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65.103584609000009</v>
      </c>
      <c r="IX28" s="158">
        <v>5.5724037259999895</v>
      </c>
      <c r="IY28" s="158">
        <v>67.012085866000007</v>
      </c>
      <c r="IZ28" s="158">
        <v>51.59783891799988</v>
      </c>
      <c r="JA28" s="158">
        <v>24.194077965000005</v>
      </c>
      <c r="JB28" s="158">
        <v>26.45260347599999</v>
      </c>
      <c r="JC28" s="158">
        <v>10.776204999000008</v>
      </c>
      <c r="JD28" s="158"/>
      <c r="JE28" s="158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310.51190464000001</v>
      </c>
      <c r="IX29" s="158">
        <v>259.43339054299997</v>
      </c>
      <c r="IY29" s="158">
        <v>1106.8359399480003</v>
      </c>
      <c r="IZ29" s="158">
        <v>-146.12194007199994</v>
      </c>
      <c r="JA29" s="158">
        <v>272.71140211099998</v>
      </c>
      <c r="JB29" s="158">
        <v>290.661406172</v>
      </c>
      <c r="JC29" s="158">
        <v>386.97880382300008</v>
      </c>
      <c r="JD29" s="158"/>
      <c r="JE29" s="158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55.440421448000002</v>
      </c>
      <c r="IX30" s="158">
        <v>107.164288677</v>
      </c>
      <c r="IY30" s="158">
        <v>975.26797809700008</v>
      </c>
      <c r="IZ30" s="158">
        <v>-204.16688616400003</v>
      </c>
      <c r="JA30" s="158">
        <v>149.34711538799999</v>
      </c>
      <c r="JB30" s="158">
        <v>150.009744474</v>
      </c>
      <c r="JC30" s="158">
        <v>174.72579599899998</v>
      </c>
      <c r="JD30" s="158"/>
      <c r="JE30" s="158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255.07148319200002</v>
      </c>
      <c r="IX31" s="158">
        <v>152.269101866</v>
      </c>
      <c r="IY31" s="158">
        <v>131.56796185100001</v>
      </c>
      <c r="IZ31" s="158">
        <v>58.044946092000025</v>
      </c>
      <c r="JA31" s="158">
        <v>123.36428672300002</v>
      </c>
      <c r="JB31" s="158">
        <v>140.65166169799997</v>
      </c>
      <c r="JC31" s="158">
        <v>212.25300782400001</v>
      </c>
      <c r="JD31" s="158"/>
      <c r="JE31" s="158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83.872651723000004</v>
      </c>
      <c r="IX32" s="158">
        <v>164.82290683899998</v>
      </c>
      <c r="IY32" s="158">
        <v>36.521690390000003</v>
      </c>
      <c r="IZ32" s="158">
        <v>81.797580041999993</v>
      </c>
      <c r="JA32" s="158">
        <v>29.376289172</v>
      </c>
      <c r="JB32" s="158">
        <v>32.938936975000004</v>
      </c>
      <c r="JC32" s="158">
        <v>43.326711008000004</v>
      </c>
      <c r="JD32" s="158"/>
      <c r="JE32" s="158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>
        <v>4256.0327050629994</v>
      </c>
      <c r="IY34" s="158">
        <v>3945.7820394109999</v>
      </c>
      <c r="IZ34" s="158">
        <v>4471.1842986419997</v>
      </c>
      <c r="JA34" s="158">
        <v>4343.7660407499998</v>
      </c>
      <c r="JB34" s="158">
        <v>4538.1459755509995</v>
      </c>
      <c r="JC34" s="158">
        <v>4308.2376978459997</v>
      </c>
      <c r="JD34" s="158"/>
      <c r="JE34" s="158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>
        <v>1690.3028769899997</v>
      </c>
      <c r="IY35" s="198">
        <v>1691.5468035640001</v>
      </c>
      <c r="IZ35" s="198">
        <v>1706.1111985140001</v>
      </c>
      <c r="JA35" s="198">
        <v>1707.8203446860005</v>
      </c>
      <c r="JB35" s="198">
        <v>1685.2923286169996</v>
      </c>
      <c r="JC35" s="198">
        <v>1765.5595074979999</v>
      </c>
      <c r="JD35" s="198"/>
      <c r="JE35" s="198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>
        <v>450.68079886999999</v>
      </c>
      <c r="IY36" s="161">
        <v>568.08199191200003</v>
      </c>
      <c r="IZ36" s="161">
        <v>725.03368756300017</v>
      </c>
      <c r="JA36" s="161">
        <v>557.12618810099991</v>
      </c>
      <c r="JB36" s="161">
        <v>451.16078686299994</v>
      </c>
      <c r="JC36" s="161">
        <v>513.89825842400001</v>
      </c>
      <c r="JD36" s="161"/>
      <c r="JE36" s="161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>
        <v>157.41184339600002</v>
      </c>
      <c r="IY37" s="158">
        <v>157.09179426199998</v>
      </c>
      <c r="IZ37" s="158">
        <v>177.784648624</v>
      </c>
      <c r="JA37" s="158">
        <v>128.96081648399999</v>
      </c>
      <c r="JB37" s="158">
        <v>168.88602928099999</v>
      </c>
      <c r="JC37" s="158">
        <v>141.86096733800002</v>
      </c>
      <c r="JD37" s="158"/>
      <c r="JE37" s="158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>
        <v>277.962228122</v>
      </c>
      <c r="IY38" s="158">
        <v>394.06017859399998</v>
      </c>
      <c r="IZ38" s="158">
        <v>528.53461606700012</v>
      </c>
      <c r="JA38" s="158">
        <v>428.10862439899995</v>
      </c>
      <c r="JB38" s="158">
        <v>275.10900165099997</v>
      </c>
      <c r="JC38" s="158">
        <v>367.98672191799994</v>
      </c>
      <c r="JD38" s="158"/>
      <c r="JE38" s="158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>
        <v>15.274920249000001</v>
      </c>
      <c r="IY39" s="158">
        <v>16.930019056000003</v>
      </c>
      <c r="IZ39" s="158">
        <v>18.711742499</v>
      </c>
      <c r="JA39" s="158">
        <v>6.3784499999999995E-4</v>
      </c>
      <c r="JB39" s="158">
        <v>7.1611099310000004</v>
      </c>
      <c r="JC39" s="158">
        <v>4.0436001680000002</v>
      </c>
      <c r="JD39" s="158"/>
      <c r="JE39" s="158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>
        <v>3.1807102999999184E-2</v>
      </c>
      <c r="IY40" s="158">
        <v>0</v>
      </c>
      <c r="IZ40" s="158">
        <v>2.6803729999810458E-3</v>
      </c>
      <c r="JA40" s="158">
        <v>5.6109372999984773E-2</v>
      </c>
      <c r="JB40" s="158">
        <v>4.6459999999497086E-3</v>
      </c>
      <c r="JC40" s="158">
        <v>6.969000000040978E-3</v>
      </c>
      <c r="JD40" s="158"/>
      <c r="JE40" s="158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>
        <v>692.53967024899998</v>
      </c>
      <c r="IY41" s="161">
        <v>323.50525333399997</v>
      </c>
      <c r="IZ41" s="161">
        <v>240.085125874</v>
      </c>
      <c r="JA41" s="161">
        <v>679.79433824400007</v>
      </c>
      <c r="JB41" s="161">
        <v>975.22943245500005</v>
      </c>
      <c r="JC41" s="161">
        <v>510.86191037000003</v>
      </c>
      <c r="JD41" s="161"/>
      <c r="JE41" s="161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>
        <v>670.49544323099997</v>
      </c>
      <c r="IY42" s="158">
        <v>286.46463208399996</v>
      </c>
      <c r="IZ42" s="158">
        <v>240.085125874</v>
      </c>
      <c r="JA42" s="158">
        <v>487.09394343700001</v>
      </c>
      <c r="JB42" s="158">
        <v>942.96172910400003</v>
      </c>
      <c r="JC42" s="158">
        <v>483.81297246000003</v>
      </c>
      <c r="JD42" s="158"/>
      <c r="JE42" s="158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>
        <v>22.044227018000001</v>
      </c>
      <c r="IY43" s="158">
        <v>37.040621249999994</v>
      </c>
      <c r="IZ43" s="158">
        <v>0</v>
      </c>
      <c r="JA43" s="158">
        <v>192.70039480700001</v>
      </c>
      <c r="JB43" s="158">
        <v>32.267703351000002</v>
      </c>
      <c r="JC43" s="158">
        <v>27.048937909999999</v>
      </c>
      <c r="JD43" s="158"/>
      <c r="JE43" s="158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>
        <v>0</v>
      </c>
      <c r="IY44" s="158">
        <v>0</v>
      </c>
      <c r="IZ44" s="158">
        <v>0</v>
      </c>
      <c r="JA44" s="158">
        <v>0</v>
      </c>
      <c r="JB44" s="158">
        <v>0</v>
      </c>
      <c r="JC44" s="158">
        <v>0</v>
      </c>
      <c r="JD44" s="158"/>
      <c r="JE44" s="158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>
        <v>412.23324842499994</v>
      </c>
      <c r="IY45" s="158">
        <v>425.65938595200004</v>
      </c>
      <c r="IZ45" s="158">
        <v>870.29515321299994</v>
      </c>
      <c r="JA45" s="158">
        <v>469.895018376</v>
      </c>
      <c r="JB45" s="158">
        <v>518.09065131800003</v>
      </c>
      <c r="JC45" s="158">
        <v>502.85846869099998</v>
      </c>
      <c r="JD45" s="158"/>
      <c r="JE45" s="158"/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>
        <v>0</v>
      </c>
      <c r="IY46" s="158">
        <v>0</v>
      </c>
      <c r="IZ46" s="158">
        <v>0</v>
      </c>
      <c r="JA46" s="158">
        <v>0</v>
      </c>
      <c r="JB46" s="158">
        <v>0</v>
      </c>
      <c r="JC46" s="158">
        <v>0</v>
      </c>
      <c r="JD46" s="158"/>
      <c r="JE46" s="158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>
        <v>0</v>
      </c>
      <c r="IZ47" s="161">
        <v>0</v>
      </c>
      <c r="JA47" s="161">
        <v>0</v>
      </c>
      <c r="JB47" s="161">
        <v>0</v>
      </c>
      <c r="JC47" s="161">
        <v>0</v>
      </c>
      <c r="JD47" s="161"/>
      <c r="JE47" s="161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>
        <v>0</v>
      </c>
      <c r="IY48" s="158">
        <v>0</v>
      </c>
      <c r="IZ48" s="158">
        <v>0</v>
      </c>
      <c r="JA48" s="158">
        <v>0</v>
      </c>
      <c r="JB48" s="158">
        <v>0</v>
      </c>
      <c r="JC48" s="158">
        <v>0</v>
      </c>
      <c r="JD48" s="158"/>
      <c r="JE48" s="158"/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>
        <v>15.717472501</v>
      </c>
      <c r="IY49" s="158">
        <v>1.5524617490000001</v>
      </c>
      <c r="IZ49" s="158">
        <v>6.3208455700000004</v>
      </c>
      <c r="JA49" s="158">
        <v>0.71384452300000001</v>
      </c>
      <c r="JB49" s="158">
        <v>1.09919173</v>
      </c>
      <c r="JC49" s="158">
        <v>3.978452576</v>
      </c>
      <c r="JD49" s="158"/>
      <c r="JE49" s="158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>
        <v>15.717472501</v>
      </c>
      <c r="IY50" s="161">
        <v>1.5524617490000001</v>
      </c>
      <c r="IZ50" s="161">
        <v>6.3208455700000004</v>
      </c>
      <c r="JA50" s="161">
        <v>0.71384452300000001</v>
      </c>
      <c r="JB50" s="161">
        <v>1.09919173</v>
      </c>
      <c r="JC50" s="161">
        <v>3.978452576</v>
      </c>
      <c r="JD50" s="161"/>
      <c r="JE50" s="161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>
        <v>0</v>
      </c>
      <c r="IY51" s="158">
        <v>0</v>
      </c>
      <c r="IZ51" s="158">
        <v>0</v>
      </c>
      <c r="JA51" s="158">
        <v>0</v>
      </c>
      <c r="JB51" s="158">
        <v>0</v>
      </c>
      <c r="JC51" s="158">
        <v>0</v>
      </c>
      <c r="JD51" s="158"/>
      <c r="JE51" s="158"/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>
        <v>396.51577592399997</v>
      </c>
      <c r="IY52" s="158">
        <v>424.10692420300006</v>
      </c>
      <c r="IZ52" s="158">
        <v>863.97430764299997</v>
      </c>
      <c r="JA52" s="158">
        <v>469.18117385300002</v>
      </c>
      <c r="JB52" s="158">
        <v>516.991459588</v>
      </c>
      <c r="JC52" s="158">
        <v>498.88001611499999</v>
      </c>
      <c r="JD52" s="158"/>
      <c r="JE52" s="158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>
        <v>299.83299377099996</v>
      </c>
      <c r="IY53" s="161">
        <v>290.89957685900004</v>
      </c>
      <c r="IZ53" s="161">
        <v>418.64382420099997</v>
      </c>
      <c r="JA53" s="161">
        <v>336.096041415</v>
      </c>
      <c r="JB53" s="161">
        <v>348.22216657600001</v>
      </c>
      <c r="JC53" s="161">
        <v>350.89598977899999</v>
      </c>
      <c r="JD53" s="161"/>
      <c r="JE53" s="161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>
        <v>96.682782152999991</v>
      </c>
      <c r="IY54" s="158">
        <v>133.207347344</v>
      </c>
      <c r="IZ54" s="158">
        <v>445.330483442</v>
      </c>
      <c r="JA54" s="158">
        <v>133.08513243799999</v>
      </c>
      <c r="JB54" s="158">
        <v>168.76929301199999</v>
      </c>
      <c r="JC54" s="158">
        <v>147.984026336</v>
      </c>
      <c r="JD54" s="158"/>
      <c r="JE54" s="158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>
        <v>740.19488153200007</v>
      </c>
      <c r="IY55" s="161">
        <v>744.65206402299998</v>
      </c>
      <c r="IZ55" s="161">
        <v>749.37541258599992</v>
      </c>
      <c r="JA55" s="161">
        <v>743.09611486999995</v>
      </c>
      <c r="JB55" s="161">
        <v>764.41963660299996</v>
      </c>
      <c r="JC55" s="161">
        <v>798.26868409099995</v>
      </c>
      <c r="JD55" s="161"/>
      <c r="JE55" s="161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>
        <v>431.94042629299997</v>
      </c>
      <c r="IY56" s="158">
        <v>426.96554845999998</v>
      </c>
      <c r="IZ56" s="158">
        <v>445.96629593199998</v>
      </c>
      <c r="JA56" s="158">
        <v>449.09443202099993</v>
      </c>
      <c r="JB56" s="158">
        <v>451.13063009699999</v>
      </c>
      <c r="JC56" s="158">
        <v>456.52747720900004</v>
      </c>
      <c r="JD56" s="158"/>
      <c r="JE56" s="158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>
        <v>281.50389901900002</v>
      </c>
      <c r="IY57" s="158">
        <v>293.55045695999996</v>
      </c>
      <c r="IZ57" s="158">
        <v>277.41823741799999</v>
      </c>
      <c r="JA57" s="158">
        <v>270.03846093800001</v>
      </c>
      <c r="JB57" s="158">
        <v>288.84409488699998</v>
      </c>
      <c r="JC57" s="158">
        <v>316.39361742</v>
      </c>
      <c r="JD57" s="158"/>
      <c r="JE57" s="158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>
        <v>26.75055622</v>
      </c>
      <c r="IY58" s="158">
        <v>24.136058603000002</v>
      </c>
      <c r="IZ58" s="158">
        <v>25.990879236000001</v>
      </c>
      <c r="JA58" s="158">
        <v>23.963221911000002</v>
      </c>
      <c r="JB58" s="158">
        <v>24.444911619000003</v>
      </c>
      <c r="JC58" s="158">
        <v>25.347589461999998</v>
      </c>
      <c r="JD58" s="158"/>
      <c r="JE58" s="158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>
        <v>270.08122899700004</v>
      </c>
      <c r="IY59" s="158">
        <v>192.33654062599999</v>
      </c>
      <c r="IZ59" s="158">
        <v>180.28372089200002</v>
      </c>
      <c r="JA59" s="158">
        <v>186.03403647300001</v>
      </c>
      <c r="JB59" s="158">
        <v>143.953139695</v>
      </c>
      <c r="JC59" s="158">
        <v>216.79086877200001</v>
      </c>
      <c r="JD59" s="158"/>
      <c r="JE59" s="158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>
        <v>129.05403566500001</v>
      </c>
      <c r="IY60" s="161">
        <v>69.665342180999986</v>
      </c>
      <c r="IZ60" s="161">
        <v>117.82658553100001</v>
      </c>
      <c r="JA60" s="161">
        <v>110.63926989300001</v>
      </c>
      <c r="JB60" s="161">
        <v>42.102533298000012</v>
      </c>
      <c r="JC60" s="161">
        <v>78.474091732000005</v>
      </c>
      <c r="JD60" s="161"/>
      <c r="JE60" s="161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>
        <v>20.842849130999998</v>
      </c>
      <c r="IY61" s="158">
        <v>31.968753273999997</v>
      </c>
      <c r="IZ61" s="158">
        <v>36.931859482</v>
      </c>
      <c r="JA61" s="158">
        <v>8.6597728509999996</v>
      </c>
      <c r="JB61" s="158">
        <v>2.842391852</v>
      </c>
      <c r="JC61" s="158">
        <v>39.455628385999994</v>
      </c>
      <c r="JD61" s="158"/>
      <c r="JE61" s="158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>
        <v>31.992113463999999</v>
      </c>
      <c r="IY62" s="158">
        <v>11.433426416999998</v>
      </c>
      <c r="IZ62" s="158">
        <v>29.400120528999999</v>
      </c>
      <c r="JA62" s="158">
        <v>33.653365161000004</v>
      </c>
      <c r="JB62" s="158">
        <v>20.083155403999999</v>
      </c>
      <c r="JC62" s="158">
        <v>19.449719883</v>
      </c>
      <c r="JD62" s="158"/>
      <c r="JE62" s="158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>
        <v>2.8170425000000012</v>
      </c>
      <c r="IY63" s="158">
        <v>0.05</v>
      </c>
      <c r="IZ63" s="158">
        <v>3.0372508649999999</v>
      </c>
      <c r="JA63" s="158">
        <v>0.42238947999999998</v>
      </c>
      <c r="JB63" s="158">
        <v>1.912616622</v>
      </c>
      <c r="JC63" s="158">
        <v>0.12609000000000015</v>
      </c>
      <c r="JD63" s="158"/>
      <c r="JE63" s="158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>
        <v>70.02083778299999</v>
      </c>
      <c r="IY64" s="158">
        <v>23.189010666999998</v>
      </c>
      <c r="IZ64" s="158">
        <v>45.361161967999998</v>
      </c>
      <c r="JA64" s="158">
        <v>63.852549713999998</v>
      </c>
      <c r="JB64" s="158">
        <v>14.708176733</v>
      </c>
      <c r="JC64" s="158">
        <v>16.926460775999999</v>
      </c>
      <c r="JD64" s="158"/>
      <c r="JE64" s="158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>
        <v>3.3811927869999998</v>
      </c>
      <c r="IY65" s="158">
        <v>3.024151823</v>
      </c>
      <c r="IZ65" s="158">
        <v>3.0961926870000003</v>
      </c>
      <c r="JA65" s="158">
        <v>4.0511926870000003</v>
      </c>
      <c r="JB65" s="158">
        <v>2.5561926870000002</v>
      </c>
      <c r="JC65" s="158">
        <v>2.5161926870000002</v>
      </c>
      <c r="JD65" s="158"/>
      <c r="JE65" s="158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>
        <v>141.027193332</v>
      </c>
      <c r="IY66" s="158">
        <v>122.67119844499999</v>
      </c>
      <c r="IZ66" s="158">
        <v>62.457135361000006</v>
      </c>
      <c r="JA66" s="158">
        <v>75.394766579999995</v>
      </c>
      <c r="JB66" s="158">
        <v>101.85060639699999</v>
      </c>
      <c r="JC66" s="158">
        <v>138.31677704000001</v>
      </c>
      <c r="JD66" s="158"/>
      <c r="JE66" s="158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>
        <v>141.027193332</v>
      </c>
      <c r="IY67" s="158">
        <v>122.67119844499999</v>
      </c>
      <c r="IZ67" s="158">
        <v>62.457135361000006</v>
      </c>
      <c r="JA67" s="158">
        <v>75.394766579999995</v>
      </c>
      <c r="JB67" s="158">
        <v>101.85060639699999</v>
      </c>
      <c r="JC67" s="158">
        <v>138.31677704000001</v>
      </c>
      <c r="JD67" s="158"/>
      <c r="JE67" s="158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>
        <v>0</v>
      </c>
      <c r="IY68" s="158">
        <v>0</v>
      </c>
      <c r="IZ68" s="158">
        <v>0</v>
      </c>
      <c r="JA68" s="158">
        <v>0</v>
      </c>
      <c r="JB68" s="158">
        <v>0</v>
      </c>
      <c r="JC68" s="158">
        <v>0</v>
      </c>
      <c r="JD68" s="158"/>
      <c r="JE68" s="158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>
        <v>0</v>
      </c>
      <c r="IY69" s="158">
        <v>0</v>
      </c>
      <c r="IZ69" s="158">
        <v>0</v>
      </c>
      <c r="JA69" s="158">
        <v>0</v>
      </c>
      <c r="JB69" s="158">
        <v>0</v>
      </c>
      <c r="JC69" s="158">
        <v>0</v>
      </c>
      <c r="JD69" s="158"/>
      <c r="JE69" s="158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1123.5998421269996</v>
      </c>
      <c r="IX71" s="158">
        <v>1144.9855842650004</v>
      </c>
      <c r="IY71" s="158">
        <v>450.90408300599984</v>
      </c>
      <c r="IZ71" s="158">
        <v>272.70787805200052</v>
      </c>
      <c r="JA71" s="158">
        <v>-812.31715226200004</v>
      </c>
      <c r="JB71" s="158">
        <v>-106.94508122999923</v>
      </c>
      <c r="JC71" s="158">
        <v>-326.44021209199991</v>
      </c>
      <c r="JD71" s="158"/>
      <c r="JE71" s="158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>
        <v>508.08560216199999</v>
      </c>
      <c r="IY74" s="158">
        <v>529.7948712650001</v>
      </c>
      <c r="IZ74" s="158">
        <v>715.2767886649998</v>
      </c>
      <c r="JA74" s="158">
        <v>645.81966667200004</v>
      </c>
      <c r="JB74" s="158">
        <v>538.2603576869999</v>
      </c>
      <c r="JC74" s="158">
        <v>588.54177369600006</v>
      </c>
      <c r="JD74" s="158"/>
      <c r="JE74" s="158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>
        <v>499.62814789699996</v>
      </c>
      <c r="IY75" s="158">
        <v>473.88904741100009</v>
      </c>
      <c r="IZ75" s="158">
        <v>714.07327816199984</v>
      </c>
      <c r="JA75" s="158">
        <v>511.73482078400002</v>
      </c>
      <c r="JB75" s="158">
        <v>534.61586540099995</v>
      </c>
      <c r="JC75" s="158">
        <v>582.8297692220001</v>
      </c>
      <c r="JD75" s="158"/>
      <c r="JE75" s="158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>
        <v>8.4574542649999991</v>
      </c>
      <c r="IY76" s="158">
        <v>4.8409505489999995</v>
      </c>
      <c r="IZ76" s="158">
        <v>1.203510503</v>
      </c>
      <c r="JA76" s="158">
        <v>7.0126755730000001</v>
      </c>
      <c r="JB76" s="158">
        <v>3.6444922860000002</v>
      </c>
      <c r="JC76" s="158">
        <v>5.7120044740000004</v>
      </c>
      <c r="JD76" s="158"/>
      <c r="JE76" s="158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>
        <v>0</v>
      </c>
      <c r="IY77" s="158">
        <v>51.064873304999999</v>
      </c>
      <c r="IZ77" s="158">
        <v>0</v>
      </c>
      <c r="JA77" s="158">
        <v>127.07217031499999</v>
      </c>
      <c r="JB77" s="158">
        <v>0</v>
      </c>
      <c r="JC77" s="158">
        <v>0</v>
      </c>
      <c r="JD77" s="158"/>
      <c r="JE77" s="158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510.6599702029996</v>
      </c>
      <c r="IX78" s="162">
        <v>636.89998210300041</v>
      </c>
      <c r="IY78" s="162">
        <v>-78.89078825900026</v>
      </c>
      <c r="IZ78" s="162">
        <v>-442.56891061299928</v>
      </c>
      <c r="JA78" s="162">
        <v>-1458.1368189340001</v>
      </c>
      <c r="JB78" s="162">
        <v>-645.20543891699913</v>
      </c>
      <c r="JC78" s="162">
        <v>-914.98198578799997</v>
      </c>
      <c r="JD78" s="162"/>
      <c r="JE78" s="162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-2780.3319370007994</v>
      </c>
      <c r="IW82" s="158">
        <v>1032.9323695654336</v>
      </c>
      <c r="IX82" s="158">
        <v>1521.62250532751</v>
      </c>
      <c r="IY82" s="158">
        <v>1196.9125215232857</v>
      </c>
      <c r="IZ82" s="158">
        <v>-312.96146151344402</v>
      </c>
      <c r="JA82" s="158">
        <v>35.242732589000013</v>
      </c>
      <c r="JB82" s="158">
        <v>-83.342422724999992</v>
      </c>
      <c r="JC82" s="158">
        <v>-135.06231028100001</v>
      </c>
      <c r="JD82" s="158"/>
      <c r="JE82" s="158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-2780.3319370007994</v>
      </c>
      <c r="IW83" s="158">
        <v>1032.9323695654336</v>
      </c>
      <c r="IX83" s="158">
        <v>1521.62250532751</v>
      </c>
      <c r="IY83" s="158">
        <v>1196.9125215232857</v>
      </c>
      <c r="IZ83" s="158">
        <v>-312.96146151344402</v>
      </c>
      <c r="JA83" s="158">
        <v>35.242732589000013</v>
      </c>
      <c r="JB83" s="158">
        <v>-83.342422724999992</v>
      </c>
      <c r="JC83" s="158">
        <v>-135.06231028100001</v>
      </c>
      <c r="JD83" s="158"/>
      <c r="JE83" s="158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>
        <v>0</v>
      </c>
      <c r="IY84" s="158">
        <v>0</v>
      </c>
      <c r="IZ84" s="158">
        <v>0</v>
      </c>
      <c r="JA84" s="158">
        <v>0</v>
      </c>
      <c r="JB84" s="158">
        <v>0</v>
      </c>
      <c r="JC84" s="158">
        <v>0</v>
      </c>
      <c r="JD84" s="158"/>
      <c r="JE84" s="158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-1534.9713241279999</v>
      </c>
      <c r="IU85" s="158">
        <v>4270.8186665559988</v>
      </c>
      <c r="IV85" s="158">
        <v>-555.6078134679999</v>
      </c>
      <c r="IW85" s="158">
        <v>1146.1299144889999</v>
      </c>
      <c r="IX85" s="158">
        <v>1505.7304167899997</v>
      </c>
      <c r="IY85" s="158">
        <v>909.80212153999992</v>
      </c>
      <c r="IZ85" s="158">
        <v>700.220311907</v>
      </c>
      <c r="JA85" s="158">
        <v>44.507139940999934</v>
      </c>
      <c r="JB85" s="158">
        <v>63.479896642999933</v>
      </c>
      <c r="JC85" s="158">
        <v>1544.811302957</v>
      </c>
      <c r="JD85" s="158"/>
      <c r="JE85" s="158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-1602.6674343519999</v>
      </c>
      <c r="IU86" s="158">
        <v>-2194.157517872</v>
      </c>
      <c r="IV86" s="158">
        <v>-16.420111705</v>
      </c>
      <c r="IW86" s="158">
        <v>1129.139421227</v>
      </c>
      <c r="IX86" s="158">
        <v>-144.92893577900003</v>
      </c>
      <c r="IY86" s="158">
        <v>480.85150161499996</v>
      </c>
      <c r="IZ86" s="158">
        <v>507.08930101099998</v>
      </c>
      <c r="JA86" s="158">
        <v>-350.34723871900007</v>
      </c>
      <c r="JB86" s="158">
        <v>308.91826010599999</v>
      </c>
      <c r="JC86" s="158">
        <v>-1.20844237</v>
      </c>
      <c r="JD86" s="158"/>
      <c r="JE86" s="158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>
        <v>1650.6593525689998</v>
      </c>
      <c r="IY87" s="158">
        <v>428.95061992499996</v>
      </c>
      <c r="IZ87" s="158">
        <v>193.13101089599999</v>
      </c>
      <c r="JA87" s="158">
        <v>394.85437866000001</v>
      </c>
      <c r="JB87" s="158">
        <v>-245.43836346300006</v>
      </c>
      <c r="JC87" s="158">
        <v>1546.019745327</v>
      </c>
      <c r="JD87" s="158"/>
      <c r="JE87" s="158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-1602.6674343519999</v>
      </c>
      <c r="IU89" s="158">
        <v>-2177.4993455809999</v>
      </c>
      <c r="IV89" s="158">
        <v>-16.344111705</v>
      </c>
      <c r="IW89" s="158">
        <v>244.05842122700003</v>
      </c>
      <c r="IX89" s="158">
        <v>-118.41265638</v>
      </c>
      <c r="IY89" s="158">
        <v>187.35150161499999</v>
      </c>
      <c r="IZ89" s="158">
        <v>520.62089835799998</v>
      </c>
      <c r="JA89" s="158">
        <v>-332.959770107</v>
      </c>
      <c r="JB89" s="158">
        <v>87.170381070999994</v>
      </c>
      <c r="JC89" s="158">
        <v>0</v>
      </c>
      <c r="JD89" s="158"/>
      <c r="JE89" s="158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923.04484288100002</v>
      </c>
      <c r="IU90" s="158">
        <v>781.41563478499995</v>
      </c>
      <c r="IV90" s="158">
        <v>-16.344111705</v>
      </c>
      <c r="IW90" s="158">
        <v>244.05842122700003</v>
      </c>
      <c r="IX90" s="158">
        <v>-118.41265638</v>
      </c>
      <c r="IY90" s="158">
        <v>187.35150161499999</v>
      </c>
      <c r="IZ90" s="158">
        <v>520.62089835799998</v>
      </c>
      <c r="JA90" s="158">
        <v>-332.959770107</v>
      </c>
      <c r="JB90" s="158">
        <v>87.170381070999994</v>
      </c>
      <c r="JC90" s="158">
        <v>0</v>
      </c>
      <c r="JD90" s="158"/>
      <c r="JE90" s="158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>
        <v>0</v>
      </c>
      <c r="IY91" s="158">
        <v>0</v>
      </c>
      <c r="IZ91" s="158">
        <v>0</v>
      </c>
      <c r="JA91" s="158">
        <v>0</v>
      </c>
      <c r="JB91" s="158">
        <v>0</v>
      </c>
      <c r="JC91" s="158">
        <v>0</v>
      </c>
      <c r="JD91" s="158"/>
      <c r="JE91" s="158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-2779.1760796167996</v>
      </c>
      <c r="IW93" s="158">
        <v>1001.2231447584336</v>
      </c>
      <c r="IX93" s="158">
        <v>1492.8002479745101</v>
      </c>
      <c r="IY93" s="158">
        <v>1154.5796204132857</v>
      </c>
      <c r="IZ93" s="158">
        <v>-311.73213025844404</v>
      </c>
      <c r="JA93" s="158">
        <v>0</v>
      </c>
      <c r="JB93" s="158">
        <v>0</v>
      </c>
      <c r="JC93" s="158">
        <v>0</v>
      </c>
      <c r="JD93" s="158"/>
      <c r="JE93" s="158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-2779.1760796167996</v>
      </c>
      <c r="IW94" s="158">
        <v>1001.2231447584336</v>
      </c>
      <c r="IX94" s="158">
        <v>1492.8002479745101</v>
      </c>
      <c r="IY94" s="158">
        <v>1154.5796204132857</v>
      </c>
      <c r="IZ94" s="158">
        <v>-311.73213025844404</v>
      </c>
      <c r="JA94" s="158">
        <v>0</v>
      </c>
      <c r="JB94" s="158">
        <v>0</v>
      </c>
      <c r="JC94" s="158">
        <v>0</v>
      </c>
      <c r="JD94" s="158"/>
      <c r="JE94" s="158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452.30266746413713</v>
      </c>
      <c r="IU96" s="158">
        <v>-3196.6856598479453</v>
      </c>
      <c r="IV96" s="158">
        <v>56.009409626799652</v>
      </c>
      <c r="IW96" s="158">
        <v>623.85751512656589</v>
      </c>
      <c r="IX96" s="158">
        <v>621.00789356549012</v>
      </c>
      <c r="IY96" s="158">
        <v>-366.00118824228593</v>
      </c>
      <c r="IZ96" s="158">
        <v>570.6128628074448</v>
      </c>
      <c r="JA96" s="158">
        <v>-1448.8724115820003</v>
      </c>
      <c r="JB96" s="158">
        <v>-498.38311954899916</v>
      </c>
      <c r="JC96" s="158">
        <v>764.89162744999999</v>
      </c>
      <c r="JD96" s="158"/>
      <c r="JE96" s="158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223"/>
      <c r="FF102" s="223"/>
      <c r="FG102" s="223"/>
      <c r="FH102" s="223"/>
      <c r="FI102" s="223"/>
      <c r="FJ102" s="223"/>
      <c r="FK102" s="223"/>
      <c r="FL102" s="223"/>
      <c r="FM102" s="223"/>
      <c r="FN102" s="223"/>
      <c r="FO102" s="223"/>
      <c r="FP102" s="223"/>
      <c r="FQ102" s="223"/>
      <c r="FR102" s="223"/>
      <c r="FS102" s="223"/>
      <c r="FT102" s="223"/>
      <c r="FU102" s="223"/>
      <c r="FV102" s="223"/>
      <c r="FW102" s="223"/>
      <c r="FX102" s="223"/>
      <c r="FY102" s="223"/>
      <c r="FZ102" s="223"/>
      <c r="GA102" s="223"/>
      <c r="GB102" s="223"/>
      <c r="GC102" s="223"/>
      <c r="GD102" s="223"/>
      <c r="GE102" s="223"/>
      <c r="GF102" s="223"/>
      <c r="GG102" s="223"/>
      <c r="GH102" s="223"/>
      <c r="GI102" s="223"/>
      <c r="GJ102" s="223"/>
      <c r="GK102" s="223"/>
      <c r="GL102" s="223"/>
      <c r="GM102" s="223"/>
      <c r="GN102" s="223"/>
      <c r="GO102" s="223"/>
      <c r="GP102" s="223"/>
      <c r="GQ102" s="223"/>
      <c r="GR102" s="223"/>
      <c r="GS102" s="223"/>
      <c r="GT102" s="223"/>
      <c r="GU102" s="223"/>
      <c r="GV102" s="223"/>
      <c r="GW102" s="223"/>
      <c r="GX102" s="223"/>
      <c r="GY102" s="223"/>
      <c r="GZ102" s="223"/>
      <c r="HA102" s="223"/>
      <c r="HB102" s="223"/>
      <c r="HC102" s="223"/>
      <c r="HD102" s="223"/>
      <c r="HE102" s="223"/>
      <c r="HF102" s="223"/>
      <c r="HG102" s="223"/>
      <c r="HH102" s="223"/>
      <c r="HI102" s="223"/>
      <c r="HJ102" s="223"/>
      <c r="HK102" s="223"/>
      <c r="HL102" s="223"/>
      <c r="HM102" s="223"/>
      <c r="HN102" s="223"/>
      <c r="HO102" s="223"/>
      <c r="HP102" s="223"/>
      <c r="HQ102" s="223"/>
      <c r="HR102" s="223"/>
      <c r="HS102" s="223"/>
      <c r="HT102" s="223"/>
      <c r="HU102" s="223"/>
      <c r="HV102" s="223"/>
      <c r="HW102" s="223"/>
      <c r="HX102" s="223"/>
      <c r="HY102" s="223"/>
      <c r="HZ102" s="223"/>
      <c r="IA102" s="223"/>
      <c r="IB102" s="223"/>
      <c r="IC102" s="223"/>
      <c r="ID102" s="223"/>
      <c r="IE102" s="223"/>
      <c r="IF102" s="223"/>
      <c r="IG102" s="223"/>
      <c r="IH102" s="223"/>
      <c r="II102" s="223"/>
      <c r="IJ102" s="223"/>
      <c r="IK102" s="223"/>
      <c r="IL102" s="223"/>
      <c r="IM102" s="223"/>
      <c r="IN102" s="223"/>
      <c r="IO102" s="223"/>
      <c r="IP102" s="223"/>
      <c r="IQ102" s="223"/>
      <c r="IR102" s="223"/>
      <c r="IS102" s="223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W268"/>
  <sheetViews>
    <sheetView showGridLines="0" topLeftCell="A13" workbookViewId="0">
      <selection activeCell="Q15" sqref="Q15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11.42578125" bestFit="1" customWidth="1"/>
    <col min="14" max="14" width="21.7109375" hidden="1" customWidth="1"/>
    <col min="15" max="15" width="4.5703125" customWidth="1"/>
    <col min="23" max="23" width="15.5703125" bestFit="1" customWidth="1"/>
  </cols>
  <sheetData>
    <row r="2" spans="1:23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3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f>YEAR(H3)</f>
        <v>2003</v>
      </c>
      <c r="H3" s="228">
        <v>37622</v>
      </c>
      <c r="I3" s="61">
        <v>7088.75</v>
      </c>
      <c r="K3">
        <v>2021</v>
      </c>
      <c r="L3" s="155" t="s">
        <v>205</v>
      </c>
      <c r="M3" t="s">
        <v>80</v>
      </c>
      <c r="N3" s="65">
        <v>6907.0061904761906</v>
      </c>
      <c r="T3" s="65"/>
      <c r="V3" s="65"/>
    </row>
    <row r="4" spans="1:23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f t="shared" ref="G4:G67" si="0">YEAR(H4)</f>
        <v>2003</v>
      </c>
      <c r="H4" s="228">
        <v>37653</v>
      </c>
      <c r="I4" s="61">
        <v>6942.77</v>
      </c>
      <c r="K4">
        <v>2021</v>
      </c>
      <c r="L4" s="155" t="s">
        <v>204</v>
      </c>
      <c r="M4" t="s">
        <v>79</v>
      </c>
      <c r="N4" s="65">
        <v>6898.7559523809514</v>
      </c>
      <c r="P4" s="156" t="s">
        <v>67</v>
      </c>
      <c r="Q4" s="156" t="s">
        <v>68</v>
      </c>
      <c r="R4" s="156" t="s">
        <v>83</v>
      </c>
      <c r="T4" s="65"/>
      <c r="V4" s="65"/>
      <c r="W4" s="156" t="s">
        <v>212</v>
      </c>
    </row>
    <row r="5" spans="1:23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f t="shared" si="0"/>
        <v>2003</v>
      </c>
      <c r="H5" s="228">
        <v>37681</v>
      </c>
      <c r="I5" s="61">
        <v>6851.04</v>
      </c>
      <c r="K5">
        <v>2021</v>
      </c>
      <c r="L5" s="155" t="s">
        <v>203</v>
      </c>
      <c r="M5" t="s">
        <v>78</v>
      </c>
      <c r="N5" s="65">
        <v>6926.4577272727274</v>
      </c>
      <c r="P5" s="157" t="str">
        <f>VLOOKUP(MAX(K3:K100),$K$3:$N$100,2,0)</f>
        <v>oct</v>
      </c>
      <c r="Q5" s="157">
        <f>MAX(K3:K100)</f>
        <v>2024</v>
      </c>
      <c r="R5" s="157" t="str">
        <f>P5&amp;"-"&amp;Q5</f>
        <v>oct-2024</v>
      </c>
      <c r="S5" t="s">
        <v>196</v>
      </c>
      <c r="T5" s="65" t="str">
        <f>VLOOKUP(MAX(K3:K100),$K$3:$N$100,3,0)</f>
        <v>Octubre</v>
      </c>
      <c r="U5">
        <f>MAX(K3:K100)</f>
        <v>2024</v>
      </c>
      <c r="V5" s="195" t="str">
        <f>T5&amp;" "&amp;U5</f>
        <v>Octubre 2024</v>
      </c>
      <c r="W5" s="157" t="str">
        <f>S5&amp;"-"&amp;P5&amp;" "&amp;Q5</f>
        <v>ene-oct 2024</v>
      </c>
    </row>
    <row r="6" spans="1:23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f t="shared" si="0"/>
        <v>2003</v>
      </c>
      <c r="H6" s="228">
        <v>37712</v>
      </c>
      <c r="I6" s="61">
        <v>6855.04</v>
      </c>
      <c r="K6">
        <v>2021</v>
      </c>
      <c r="L6" s="155" t="s">
        <v>202</v>
      </c>
      <c r="M6" t="s">
        <v>77</v>
      </c>
      <c r="N6" s="65">
        <v>6848.1768181818188</v>
      </c>
      <c r="P6" s="157" t="str">
        <f>VLOOKUP(MAX(K3:K100)-1,$K$3:$N$100,2,0)</f>
        <v>oct</v>
      </c>
      <c r="Q6" s="157">
        <f>MAX(K3:K100)-1</f>
        <v>2023</v>
      </c>
      <c r="R6" s="157" t="str">
        <f>P6&amp;"-"&amp;Q6</f>
        <v>oct-2023</v>
      </c>
      <c r="S6" t="s">
        <v>196</v>
      </c>
      <c r="T6" s="65"/>
      <c r="V6" s="65"/>
      <c r="W6" s="157" t="str">
        <f>S6&amp;"-"&amp;P6&amp;" "&amp;Q6</f>
        <v>ene-oct 2023</v>
      </c>
    </row>
    <row r="7" spans="1:23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f t="shared" si="0"/>
        <v>2003</v>
      </c>
      <c r="H7" s="228">
        <v>37742</v>
      </c>
      <c r="I7" s="61">
        <v>6462.22</v>
      </c>
      <c r="K7">
        <v>2021</v>
      </c>
      <c r="L7" s="155" t="s">
        <v>201</v>
      </c>
      <c r="M7" t="s">
        <v>76</v>
      </c>
      <c r="N7" s="65">
        <v>6744.5118181818189</v>
      </c>
      <c r="T7" s="65"/>
      <c r="V7" s="65"/>
    </row>
    <row r="8" spans="1:23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f t="shared" si="0"/>
        <v>2003</v>
      </c>
      <c r="H8" s="228">
        <v>37773</v>
      </c>
      <c r="I8" s="61">
        <v>6225.17</v>
      </c>
      <c r="K8">
        <v>2021</v>
      </c>
      <c r="L8" s="155" t="s">
        <v>200</v>
      </c>
      <c r="M8" t="s">
        <v>75</v>
      </c>
      <c r="N8" s="65">
        <v>6717.3797500000001</v>
      </c>
      <c r="T8" s="65"/>
      <c r="V8" s="65"/>
    </row>
    <row r="9" spans="1:23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f t="shared" si="0"/>
        <v>2003</v>
      </c>
      <c r="H9" s="228">
        <v>37803</v>
      </c>
      <c r="I9" s="61">
        <v>6010.63</v>
      </c>
      <c r="K9">
        <v>2021</v>
      </c>
      <c r="L9" s="155" t="s">
        <v>199</v>
      </c>
      <c r="M9" t="s">
        <v>74</v>
      </c>
      <c r="N9" s="65">
        <v>6410.7487500000007</v>
      </c>
      <c r="T9" s="65"/>
      <c r="V9" s="65"/>
    </row>
    <row r="10" spans="1:23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f t="shared" si="0"/>
        <v>2003</v>
      </c>
      <c r="H10" s="228">
        <v>37834</v>
      </c>
      <c r="I10" s="61">
        <v>6227.6</v>
      </c>
      <c r="K10">
        <v>2021</v>
      </c>
      <c r="L10" s="155" t="s">
        <v>198</v>
      </c>
      <c r="M10" t="s">
        <v>73</v>
      </c>
      <c r="N10" s="65">
        <v>6539.7484090909093</v>
      </c>
      <c r="T10" s="65"/>
      <c r="V10" s="65"/>
    </row>
    <row r="11" spans="1:23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f t="shared" si="0"/>
        <v>2003</v>
      </c>
      <c r="H11" s="228">
        <v>37865</v>
      </c>
      <c r="I11" s="61">
        <v>6218.07</v>
      </c>
      <c r="K11">
        <v>2021</v>
      </c>
      <c r="L11" s="155" t="s">
        <v>197</v>
      </c>
      <c r="M11" t="s">
        <v>72</v>
      </c>
      <c r="N11" s="65">
        <v>6723.152</v>
      </c>
      <c r="T11" s="65"/>
      <c r="V11" s="65"/>
    </row>
    <row r="12" spans="1:23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f t="shared" si="0"/>
        <v>2003</v>
      </c>
      <c r="H12" s="228">
        <v>37895</v>
      </c>
      <c r="I12" s="61">
        <v>6206.46</v>
      </c>
      <c r="K12">
        <v>2021</v>
      </c>
      <c r="L12" s="155" t="s">
        <v>196</v>
      </c>
      <c r="M12" t="s">
        <v>71</v>
      </c>
      <c r="N12" s="65">
        <v>6902.8254999999999</v>
      </c>
      <c r="T12" s="65"/>
      <c r="V12" s="65"/>
    </row>
    <row r="13" spans="1:23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f t="shared" si="0"/>
        <v>2003</v>
      </c>
      <c r="H13" s="228">
        <v>37926</v>
      </c>
      <c r="I13" s="61">
        <v>6155.65</v>
      </c>
      <c r="K13">
        <v>2022</v>
      </c>
      <c r="L13" s="155" t="s">
        <v>205</v>
      </c>
      <c r="M13" t="s">
        <v>80</v>
      </c>
      <c r="N13" s="65">
        <v>7176.8442500000001</v>
      </c>
      <c r="T13" s="65"/>
      <c r="V13" s="65"/>
    </row>
    <row r="14" spans="1:23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f t="shared" si="0"/>
        <v>2003</v>
      </c>
      <c r="H14" s="228">
        <v>37956</v>
      </c>
      <c r="I14" s="61">
        <v>5982.66</v>
      </c>
      <c r="K14">
        <v>2022</v>
      </c>
      <c r="L14" s="155" t="s">
        <v>204</v>
      </c>
      <c r="M14" t="s">
        <v>79</v>
      </c>
      <c r="N14" s="65">
        <v>6974.2354545454546</v>
      </c>
      <c r="T14" s="65"/>
      <c r="V14" s="65"/>
    </row>
    <row r="15" spans="1:23" x14ac:dyDescent="0.25">
      <c r="D15" s="60">
        <v>2015</v>
      </c>
      <c r="E15" s="194">
        <v>188477.32697742901</v>
      </c>
      <c r="G15" s="60">
        <f t="shared" si="0"/>
        <v>2004</v>
      </c>
      <c r="H15" s="228">
        <v>37987</v>
      </c>
      <c r="I15" s="61">
        <v>6190.4761904761908</v>
      </c>
      <c r="K15">
        <v>2022</v>
      </c>
      <c r="L15" s="155" t="s">
        <v>203</v>
      </c>
      <c r="M15" t="s">
        <v>78</v>
      </c>
      <c r="N15" s="65">
        <v>6874.4722727272738</v>
      </c>
      <c r="T15" s="65"/>
      <c r="V15" s="65"/>
    </row>
    <row r="16" spans="1:23" x14ac:dyDescent="0.25">
      <c r="D16" s="60">
        <v>2016</v>
      </c>
      <c r="E16" s="194">
        <v>204647.27307504832</v>
      </c>
      <c r="G16" s="60">
        <f t="shared" si="0"/>
        <v>2004</v>
      </c>
      <c r="H16" s="228">
        <v>38018</v>
      </c>
      <c r="I16" s="61">
        <v>6038.35</v>
      </c>
      <c r="K16">
        <v>2022</v>
      </c>
      <c r="L16" s="155" t="s">
        <v>202</v>
      </c>
      <c r="M16" t="s">
        <v>77</v>
      </c>
      <c r="N16" s="65">
        <v>6868.3819047619063</v>
      </c>
      <c r="T16" s="65"/>
      <c r="V16" s="65"/>
    </row>
    <row r="17" spans="4:22" x14ac:dyDescent="0.25">
      <c r="D17" s="60">
        <v>2017</v>
      </c>
      <c r="E17" s="194">
        <v>219122.27720283097</v>
      </c>
      <c r="G17" s="60">
        <f t="shared" si="0"/>
        <v>2004</v>
      </c>
      <c r="H17" s="228">
        <v>38047</v>
      </c>
      <c r="I17" s="61">
        <v>5974.636363636364</v>
      </c>
      <c r="K17">
        <v>2022</v>
      </c>
      <c r="L17" s="155" t="s">
        <v>201</v>
      </c>
      <c r="M17" t="s">
        <v>76</v>
      </c>
      <c r="N17" s="65">
        <v>6858.1115909090913</v>
      </c>
      <c r="T17" s="65"/>
      <c r="V17" s="65"/>
    </row>
    <row r="18" spans="4:22" x14ac:dyDescent="0.25">
      <c r="D18" s="60">
        <v>2018</v>
      </c>
      <c r="E18" s="194">
        <v>230576.47747041125</v>
      </c>
      <c r="G18" s="60">
        <f t="shared" si="0"/>
        <v>2004</v>
      </c>
      <c r="H18" s="228">
        <v>38078</v>
      </c>
      <c r="I18" s="61">
        <v>5730.5</v>
      </c>
      <c r="K18">
        <v>2022</v>
      </c>
      <c r="L18" s="155" t="s">
        <v>200</v>
      </c>
      <c r="M18" t="s">
        <v>75</v>
      </c>
      <c r="N18" s="65">
        <v>6852.8014285714289</v>
      </c>
      <c r="T18" s="65"/>
      <c r="V18" s="65"/>
    </row>
    <row r="19" spans="4:22" x14ac:dyDescent="0.25">
      <c r="D19" s="60">
        <v>2019</v>
      </c>
      <c r="E19" s="194">
        <v>236681.49706074136</v>
      </c>
      <c r="G19" s="60">
        <f t="shared" si="0"/>
        <v>2004</v>
      </c>
      <c r="H19" s="228">
        <v>38108</v>
      </c>
      <c r="I19" s="61">
        <v>5756.9047619047615</v>
      </c>
      <c r="K19">
        <v>2022</v>
      </c>
      <c r="L19" s="155" t="s">
        <v>199</v>
      </c>
      <c r="M19" t="s">
        <v>74</v>
      </c>
      <c r="N19" s="65">
        <v>6851.9389473684205</v>
      </c>
      <c r="T19" s="65"/>
      <c r="V19" s="65"/>
    </row>
    <row r="20" spans="4:22" x14ac:dyDescent="0.25">
      <c r="D20" s="60">
        <v>2020</v>
      </c>
      <c r="E20" s="194">
        <v>239914.72879376091</v>
      </c>
      <c r="G20" s="60">
        <f t="shared" si="0"/>
        <v>2004</v>
      </c>
      <c r="H20" s="228">
        <v>38139</v>
      </c>
      <c r="I20" s="61">
        <v>5922.272727272727</v>
      </c>
      <c r="K20">
        <v>2022</v>
      </c>
      <c r="L20" s="155" t="s">
        <v>198</v>
      </c>
      <c r="M20" t="s">
        <v>73</v>
      </c>
      <c r="N20" s="65">
        <v>6962.944130434782</v>
      </c>
      <c r="S20" s="65"/>
      <c r="T20" s="65"/>
      <c r="V20" s="65"/>
    </row>
    <row r="21" spans="4:22" x14ac:dyDescent="0.25">
      <c r="D21" s="60">
        <v>2021</v>
      </c>
      <c r="E21" s="194">
        <v>270633.89619649464</v>
      </c>
      <c r="G21" s="60">
        <f t="shared" si="0"/>
        <v>2004</v>
      </c>
      <c r="H21" s="228">
        <v>38169</v>
      </c>
      <c r="I21" s="61">
        <v>5903.409090909091</v>
      </c>
      <c r="K21">
        <v>2022</v>
      </c>
      <c r="L21" s="155" t="s">
        <v>197</v>
      </c>
      <c r="M21" t="s">
        <v>72</v>
      </c>
      <c r="N21" s="65">
        <v>6966.1513157894742</v>
      </c>
      <c r="S21" s="65"/>
      <c r="T21" s="65"/>
      <c r="V21" s="65"/>
    </row>
    <row r="22" spans="4:22" x14ac:dyDescent="0.25">
      <c r="D22" s="60">
        <v>2022</v>
      </c>
      <c r="E22" s="194">
        <v>292946.78898127569</v>
      </c>
      <c r="G22" s="60">
        <f t="shared" si="0"/>
        <v>2004</v>
      </c>
      <c r="H22" s="228">
        <v>38200</v>
      </c>
      <c r="I22" s="61">
        <v>5908.818181818182</v>
      </c>
      <c r="K22">
        <v>2022</v>
      </c>
      <c r="L22" s="155" t="s">
        <v>196</v>
      </c>
      <c r="M22" t="s">
        <v>71</v>
      </c>
      <c r="N22" s="65">
        <v>6986.9590476190479</v>
      </c>
      <c r="S22" s="65"/>
      <c r="V22" s="65"/>
    </row>
    <row r="23" spans="4:22" x14ac:dyDescent="0.25">
      <c r="D23" s="60">
        <v>2023</v>
      </c>
      <c r="E23" s="194">
        <v>313094.9283837775</v>
      </c>
      <c r="F23" s="65"/>
      <c r="G23" s="60">
        <f t="shared" si="0"/>
        <v>2004</v>
      </c>
      <c r="H23" s="228">
        <v>38231</v>
      </c>
      <c r="I23" s="61">
        <v>5919.333333333333</v>
      </c>
      <c r="K23">
        <v>2023</v>
      </c>
      <c r="L23" s="155" t="s">
        <v>205</v>
      </c>
      <c r="M23" t="s">
        <v>80</v>
      </c>
      <c r="N23" s="65">
        <v>7384.8424999999988</v>
      </c>
    </row>
    <row r="24" spans="4:22" x14ac:dyDescent="0.25">
      <c r="D24" s="60">
        <v>2024</v>
      </c>
      <c r="E24" s="194">
        <v>332570.39534209348</v>
      </c>
      <c r="G24" s="60">
        <f t="shared" si="0"/>
        <v>2004</v>
      </c>
      <c r="H24" s="228">
        <v>38261</v>
      </c>
      <c r="I24" s="61">
        <v>5995</v>
      </c>
      <c r="K24">
        <v>2023</v>
      </c>
      <c r="L24" s="155" t="s">
        <v>204</v>
      </c>
      <c r="M24" t="s">
        <v>79</v>
      </c>
      <c r="N24" s="65">
        <v>7276.0522500000006</v>
      </c>
    </row>
    <row r="25" spans="4:22" x14ac:dyDescent="0.25">
      <c r="G25" s="60">
        <f t="shared" si="0"/>
        <v>2004</v>
      </c>
      <c r="H25" s="228">
        <v>38292</v>
      </c>
      <c r="I25" s="61">
        <v>6100</v>
      </c>
      <c r="K25">
        <v>2023</v>
      </c>
      <c r="L25" s="155" t="s">
        <v>203</v>
      </c>
      <c r="M25" t="s">
        <v>78</v>
      </c>
      <c r="N25" s="65">
        <v>7273.1797727272724</v>
      </c>
    </row>
    <row r="26" spans="4:22" x14ac:dyDescent="0.25">
      <c r="F26" s="64"/>
      <c r="G26" s="60">
        <f t="shared" si="0"/>
        <v>2004</v>
      </c>
      <c r="H26" s="228">
        <v>38322</v>
      </c>
      <c r="I26" s="61">
        <v>6185.227272727273</v>
      </c>
      <c r="J26" s="64"/>
      <c r="K26">
        <v>2023</v>
      </c>
      <c r="L26" s="155" t="s">
        <v>202</v>
      </c>
      <c r="M26" t="s">
        <v>77</v>
      </c>
      <c r="N26" s="65">
        <v>7272.6780952380959</v>
      </c>
    </row>
    <row r="27" spans="4:22" x14ac:dyDescent="0.25">
      <c r="G27" s="60">
        <f t="shared" si="0"/>
        <v>2005</v>
      </c>
      <c r="H27" s="228">
        <v>38353</v>
      </c>
      <c r="I27" s="61">
        <v>6276.666666666667</v>
      </c>
      <c r="K27">
        <v>2023</v>
      </c>
      <c r="L27" s="155" t="s">
        <v>201</v>
      </c>
      <c r="M27" t="s">
        <v>76</v>
      </c>
      <c r="N27" s="65">
        <v>7251.6616666666669</v>
      </c>
    </row>
    <row r="28" spans="4:22" x14ac:dyDescent="0.25">
      <c r="G28" s="60">
        <f t="shared" si="0"/>
        <v>2005</v>
      </c>
      <c r="H28" s="228">
        <v>38384</v>
      </c>
      <c r="I28" s="61">
        <v>6311</v>
      </c>
      <c r="K28">
        <v>2023</v>
      </c>
      <c r="L28" s="155" t="s">
        <v>200</v>
      </c>
      <c r="M28" t="s">
        <v>75</v>
      </c>
      <c r="N28" s="65">
        <v>7207.7045238095252</v>
      </c>
    </row>
    <row r="29" spans="4:22" x14ac:dyDescent="0.25">
      <c r="G29" s="60">
        <f t="shared" si="0"/>
        <v>2005</v>
      </c>
      <c r="H29" s="228">
        <v>38412</v>
      </c>
      <c r="I29" s="61">
        <v>6262.25</v>
      </c>
      <c r="K29">
        <v>2023</v>
      </c>
      <c r="L29" s="155" t="s">
        <v>199</v>
      </c>
      <c r="M29" t="s">
        <v>74</v>
      </c>
      <c r="N29" s="65">
        <v>7173.0261111111104</v>
      </c>
    </row>
    <row r="30" spans="4:22" x14ac:dyDescent="0.25">
      <c r="G30" s="60">
        <f t="shared" si="0"/>
        <v>2005</v>
      </c>
      <c r="H30" s="228">
        <v>38443</v>
      </c>
      <c r="I30" s="61">
        <v>6267.75</v>
      </c>
      <c r="K30">
        <v>2023</v>
      </c>
      <c r="L30" s="155" t="s">
        <v>198</v>
      </c>
      <c r="M30" t="s">
        <v>73</v>
      </c>
      <c r="N30" s="65">
        <v>7184.7078260869566</v>
      </c>
    </row>
    <row r="31" spans="4:22" x14ac:dyDescent="0.25">
      <c r="G31" s="60">
        <f t="shared" si="0"/>
        <v>2005</v>
      </c>
      <c r="H31" s="228">
        <v>38473</v>
      </c>
      <c r="I31" s="61">
        <v>6242.727272727273</v>
      </c>
      <c r="K31">
        <v>2023</v>
      </c>
      <c r="L31" s="155" t="s">
        <v>197</v>
      </c>
      <c r="M31" t="s">
        <v>72</v>
      </c>
      <c r="N31" s="65">
        <v>7292.0576315789476</v>
      </c>
    </row>
    <row r="32" spans="4:22" x14ac:dyDescent="0.25">
      <c r="G32" s="60">
        <f t="shared" si="0"/>
        <v>2005</v>
      </c>
      <c r="H32" s="228">
        <v>38504</v>
      </c>
      <c r="I32" s="61">
        <v>6129.318181818182</v>
      </c>
      <c r="K32">
        <v>2023</v>
      </c>
      <c r="L32" s="155" t="s">
        <v>196</v>
      </c>
      <c r="M32" t="s">
        <v>71</v>
      </c>
      <c r="N32" s="65">
        <v>7373.170681818181</v>
      </c>
    </row>
    <row r="33" spans="7:14" x14ac:dyDescent="0.25">
      <c r="G33" s="60">
        <f t="shared" si="0"/>
        <v>2005</v>
      </c>
      <c r="H33" s="228">
        <v>38534</v>
      </c>
      <c r="I33" s="61">
        <v>6020.4761904761908</v>
      </c>
      <c r="K33">
        <v>2024</v>
      </c>
      <c r="L33" s="155" t="s">
        <v>205</v>
      </c>
      <c r="M33" t="s">
        <v>80</v>
      </c>
      <c r="N33" s="65">
        <v>7866.6784782608702</v>
      </c>
    </row>
    <row r="34" spans="7:14" x14ac:dyDescent="0.25">
      <c r="G34" s="60">
        <f t="shared" si="0"/>
        <v>2005</v>
      </c>
      <c r="H34" s="228">
        <v>38565</v>
      </c>
      <c r="I34" s="61">
        <v>5996.818181818182</v>
      </c>
      <c r="K34">
        <v>2024</v>
      </c>
      <c r="L34" s="155" t="s">
        <v>204</v>
      </c>
      <c r="M34" t="s">
        <v>79</v>
      </c>
      <c r="N34" s="65">
        <v>7764.5704999999998</v>
      </c>
    </row>
    <row r="35" spans="7:14" x14ac:dyDescent="0.25">
      <c r="G35" s="60">
        <f t="shared" si="0"/>
        <v>2005</v>
      </c>
      <c r="H35" s="228">
        <v>38596</v>
      </c>
      <c r="I35" s="61">
        <v>6110.2380952380954</v>
      </c>
      <c r="K35">
        <v>2024</v>
      </c>
      <c r="L35" s="155" t="s">
        <v>203</v>
      </c>
      <c r="M35" t="s">
        <v>78</v>
      </c>
      <c r="N35" s="65">
        <v>7594.0761904761894</v>
      </c>
    </row>
    <row r="36" spans="7:14" x14ac:dyDescent="0.25">
      <c r="G36" s="60">
        <f t="shared" si="0"/>
        <v>2005</v>
      </c>
      <c r="H36" s="228">
        <v>38626</v>
      </c>
      <c r="I36" s="61">
        <v>6118.8095238095239</v>
      </c>
      <c r="K36">
        <v>2024</v>
      </c>
      <c r="L36" s="155" t="s">
        <v>202</v>
      </c>
      <c r="M36" t="s">
        <v>77</v>
      </c>
      <c r="N36" s="65">
        <v>7554.6780434782604</v>
      </c>
    </row>
    <row r="37" spans="7:14" x14ac:dyDescent="0.25">
      <c r="G37" s="60">
        <f t="shared" si="0"/>
        <v>2005</v>
      </c>
      <c r="H37" s="228">
        <v>38657</v>
      </c>
      <c r="I37" s="61">
        <v>6127.5</v>
      </c>
      <c r="K37">
        <v>2024</v>
      </c>
      <c r="L37" s="155" t="s">
        <v>201</v>
      </c>
      <c r="M37" t="s">
        <v>76</v>
      </c>
      <c r="N37" s="65">
        <v>7529.649736842106</v>
      </c>
    </row>
    <row r="38" spans="7:14" x14ac:dyDescent="0.25">
      <c r="G38" s="60">
        <f t="shared" si="0"/>
        <v>2005</v>
      </c>
      <c r="H38" s="228">
        <v>38687</v>
      </c>
      <c r="I38" s="61">
        <v>6109.5238095238092</v>
      </c>
      <c r="K38">
        <v>2024</v>
      </c>
      <c r="L38" s="155" t="s">
        <v>200</v>
      </c>
      <c r="M38" t="s">
        <v>75</v>
      </c>
      <c r="N38" s="65">
        <v>7506.9517499999993</v>
      </c>
    </row>
    <row r="39" spans="7:14" x14ac:dyDescent="0.25">
      <c r="G39" s="60">
        <f t="shared" si="0"/>
        <v>2006</v>
      </c>
      <c r="H39" s="228">
        <v>38718</v>
      </c>
      <c r="I39" s="61">
        <v>6125.909090909091</v>
      </c>
      <c r="K39">
        <v>2024</v>
      </c>
      <c r="L39" s="155" t="s">
        <v>199</v>
      </c>
      <c r="M39" t="s">
        <v>74</v>
      </c>
      <c r="N39" s="65">
        <v>7405.4070454545454</v>
      </c>
    </row>
    <row r="40" spans="7:14" x14ac:dyDescent="0.25">
      <c r="G40" s="60">
        <f t="shared" si="0"/>
        <v>2006</v>
      </c>
      <c r="H40" s="228">
        <v>38749</v>
      </c>
      <c r="I40" s="61">
        <v>6059</v>
      </c>
      <c r="K40">
        <v>2024</v>
      </c>
      <c r="L40" s="155" t="s">
        <v>198</v>
      </c>
      <c r="M40" t="s">
        <v>73</v>
      </c>
      <c r="N40" s="65">
        <v>7317.5874999999996</v>
      </c>
    </row>
    <row r="41" spans="7:14" x14ac:dyDescent="0.25">
      <c r="G41" s="60">
        <f t="shared" si="0"/>
        <v>2006</v>
      </c>
      <c r="H41" s="228">
        <v>38777</v>
      </c>
      <c r="I41" s="61">
        <v>5884.090909090909</v>
      </c>
      <c r="K41">
        <v>2024</v>
      </c>
      <c r="L41" s="155" t="s">
        <v>197</v>
      </c>
      <c r="M41" t="s">
        <v>72</v>
      </c>
      <c r="N41" s="65">
        <v>7285.0480952380958</v>
      </c>
    </row>
    <row r="42" spans="7:14" x14ac:dyDescent="0.25">
      <c r="G42" s="60">
        <f t="shared" si="0"/>
        <v>2006</v>
      </c>
      <c r="H42" s="228">
        <v>38808</v>
      </c>
      <c r="I42" s="61">
        <v>5796.666666666667</v>
      </c>
      <c r="K42">
        <v>2024</v>
      </c>
      <c r="L42" s="155" t="s">
        <v>196</v>
      </c>
      <c r="M42" t="s">
        <v>71</v>
      </c>
      <c r="N42" s="65">
        <v>7282.9988636363632</v>
      </c>
    </row>
    <row r="43" spans="7:14" x14ac:dyDescent="0.25">
      <c r="G43" s="60">
        <f t="shared" si="0"/>
        <v>2006</v>
      </c>
      <c r="H43" s="228">
        <v>38838</v>
      </c>
      <c r="I43" s="61">
        <v>5595.7142857142853</v>
      </c>
    </row>
    <row r="44" spans="7:14" x14ac:dyDescent="0.25">
      <c r="G44" s="60">
        <f t="shared" si="0"/>
        <v>2006</v>
      </c>
      <c r="H44" s="228">
        <v>38869</v>
      </c>
      <c r="I44" s="61">
        <v>5615.2380952380954</v>
      </c>
    </row>
    <row r="45" spans="7:14" x14ac:dyDescent="0.25">
      <c r="G45" s="60">
        <f t="shared" si="0"/>
        <v>2006</v>
      </c>
      <c r="H45" s="228">
        <v>38899</v>
      </c>
      <c r="I45" s="61">
        <v>5491.9047619047615</v>
      </c>
    </row>
    <row r="46" spans="7:14" x14ac:dyDescent="0.25">
      <c r="G46" s="60">
        <f t="shared" si="0"/>
        <v>2006</v>
      </c>
      <c r="H46" s="228">
        <v>38930</v>
      </c>
      <c r="I46" s="61">
        <v>5423.181818181818</v>
      </c>
    </row>
    <row r="47" spans="7:14" x14ac:dyDescent="0.25">
      <c r="G47" s="60">
        <f t="shared" si="0"/>
        <v>2006</v>
      </c>
      <c r="H47" s="228">
        <v>38961</v>
      </c>
      <c r="I47" s="61">
        <v>5398.25</v>
      </c>
    </row>
    <row r="48" spans="7:14" x14ac:dyDescent="0.25">
      <c r="G48" s="60">
        <f t="shared" si="0"/>
        <v>2006</v>
      </c>
      <c r="H48" s="228">
        <v>38991</v>
      </c>
      <c r="I48" s="61">
        <v>5344.772727272727</v>
      </c>
    </row>
    <row r="49" spans="7:9" x14ac:dyDescent="0.25">
      <c r="G49" s="60">
        <f t="shared" si="0"/>
        <v>2006</v>
      </c>
      <c r="H49" s="228">
        <v>39022</v>
      </c>
      <c r="I49" s="61">
        <v>5396.363636363636</v>
      </c>
    </row>
    <row r="50" spans="7:9" x14ac:dyDescent="0.25">
      <c r="G50" s="60">
        <f t="shared" si="0"/>
        <v>2006</v>
      </c>
      <c r="H50" s="228">
        <v>39052</v>
      </c>
      <c r="I50" s="61">
        <v>5313.1578947368425</v>
      </c>
    </row>
    <row r="51" spans="7:9" x14ac:dyDescent="0.25">
      <c r="G51" s="60">
        <f t="shared" si="0"/>
        <v>2007</v>
      </c>
      <c r="H51" s="228">
        <v>39083</v>
      </c>
      <c r="I51" s="61">
        <v>5200.681818181818</v>
      </c>
    </row>
    <row r="52" spans="7:9" x14ac:dyDescent="0.25">
      <c r="G52" s="60">
        <f t="shared" si="0"/>
        <v>2007</v>
      </c>
      <c r="H52" s="228">
        <v>39114</v>
      </c>
      <c r="I52" s="61">
        <v>5204</v>
      </c>
    </row>
    <row r="53" spans="7:9" x14ac:dyDescent="0.25">
      <c r="G53" s="60">
        <f t="shared" si="0"/>
        <v>2007</v>
      </c>
      <c r="H53" s="228">
        <v>39142</v>
      </c>
      <c r="I53" s="61">
        <v>5090.9523809523807</v>
      </c>
    </row>
    <row r="54" spans="7:9" x14ac:dyDescent="0.25">
      <c r="G54" s="60">
        <f t="shared" si="0"/>
        <v>2007</v>
      </c>
      <c r="H54" s="228">
        <v>39173</v>
      </c>
      <c r="I54" s="61">
        <v>5023.1578947368425</v>
      </c>
    </row>
    <row r="55" spans="7:9" x14ac:dyDescent="0.25">
      <c r="G55" s="60">
        <f t="shared" si="0"/>
        <v>2007</v>
      </c>
      <c r="H55" s="228">
        <v>39203</v>
      </c>
      <c r="I55" s="61">
        <v>5045.7142857142853</v>
      </c>
    </row>
    <row r="56" spans="7:9" x14ac:dyDescent="0.25">
      <c r="G56" s="60">
        <f t="shared" si="0"/>
        <v>2007</v>
      </c>
      <c r="H56" s="228">
        <v>39234</v>
      </c>
      <c r="I56" s="61">
        <v>5069.5</v>
      </c>
    </row>
    <row r="57" spans="7:9" x14ac:dyDescent="0.25">
      <c r="G57" s="60">
        <f t="shared" si="0"/>
        <v>2007</v>
      </c>
      <c r="H57" s="228">
        <v>39264</v>
      </c>
      <c r="I57" s="61">
        <v>5110.681818181818</v>
      </c>
    </row>
    <row r="58" spans="7:9" x14ac:dyDescent="0.25">
      <c r="G58" s="60">
        <f t="shared" si="0"/>
        <v>2007</v>
      </c>
      <c r="H58" s="228">
        <v>39295</v>
      </c>
      <c r="I58" s="61">
        <v>5096.136363636364</v>
      </c>
    </row>
    <row r="59" spans="7:9" x14ac:dyDescent="0.25">
      <c r="G59" s="60">
        <f t="shared" si="0"/>
        <v>2007</v>
      </c>
      <c r="H59" s="228">
        <v>39326</v>
      </c>
      <c r="I59" s="61">
        <v>5012.5</v>
      </c>
    </row>
    <row r="60" spans="7:9" x14ac:dyDescent="0.25">
      <c r="G60" s="60">
        <f t="shared" si="0"/>
        <v>2007</v>
      </c>
      <c r="H60" s="228">
        <v>39356</v>
      </c>
      <c r="I60" s="61">
        <v>4952.826086956522</v>
      </c>
    </row>
    <row r="61" spans="7:9" x14ac:dyDescent="0.25">
      <c r="G61" s="60">
        <f t="shared" si="0"/>
        <v>2007</v>
      </c>
      <c r="H61" s="228">
        <v>39387</v>
      </c>
      <c r="I61" s="61">
        <v>4714.318181818182</v>
      </c>
    </row>
    <row r="62" spans="7:9" x14ac:dyDescent="0.25">
      <c r="G62" s="60">
        <f t="shared" si="0"/>
        <v>2007</v>
      </c>
      <c r="H62" s="228">
        <v>39417</v>
      </c>
      <c r="I62" s="61">
        <v>4716.5</v>
      </c>
    </row>
    <row r="63" spans="7:9" x14ac:dyDescent="0.25">
      <c r="G63" s="60">
        <f t="shared" si="0"/>
        <v>2008</v>
      </c>
      <c r="H63" s="228">
        <v>39448</v>
      </c>
      <c r="I63" s="61">
        <v>4704.090909090909</v>
      </c>
    </row>
    <row r="64" spans="7:9" x14ac:dyDescent="0.25">
      <c r="G64" s="60">
        <f t="shared" si="0"/>
        <v>2008</v>
      </c>
      <c r="H64" s="228">
        <v>39479</v>
      </c>
      <c r="I64" s="61">
        <v>4672.8571428571431</v>
      </c>
    </row>
    <row r="65" spans="7:9" x14ac:dyDescent="0.25">
      <c r="G65" s="60">
        <f t="shared" si="0"/>
        <v>2008</v>
      </c>
      <c r="H65" s="228">
        <v>39508</v>
      </c>
      <c r="I65" s="61">
        <v>4524.7368421052633</v>
      </c>
    </row>
    <row r="66" spans="7:9" x14ac:dyDescent="0.25">
      <c r="G66" s="60">
        <f t="shared" si="0"/>
        <v>2008</v>
      </c>
      <c r="H66" s="228">
        <v>39539</v>
      </c>
      <c r="I66" s="61">
        <v>4274.090909090909</v>
      </c>
    </row>
    <row r="67" spans="7:9" x14ac:dyDescent="0.25">
      <c r="G67" s="60">
        <f t="shared" si="0"/>
        <v>2008</v>
      </c>
      <c r="H67" s="228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8">
        <v>39600</v>
      </c>
      <c r="I68" s="61">
        <v>3969</v>
      </c>
    </row>
    <row r="69" spans="7:9" x14ac:dyDescent="0.25">
      <c r="G69" s="60">
        <f t="shared" si="1"/>
        <v>2008</v>
      </c>
      <c r="H69" s="228">
        <v>39630</v>
      </c>
      <c r="I69" s="61">
        <v>3962.8260869565215</v>
      </c>
    </row>
    <row r="70" spans="7:9" x14ac:dyDescent="0.25">
      <c r="G70" s="60">
        <f t="shared" si="1"/>
        <v>2008</v>
      </c>
      <c r="H70" s="228">
        <v>39661</v>
      </c>
      <c r="I70" s="61">
        <v>3974.5</v>
      </c>
    </row>
    <row r="71" spans="7:9" x14ac:dyDescent="0.25">
      <c r="G71" s="60">
        <f t="shared" si="1"/>
        <v>2008</v>
      </c>
      <c r="H71" s="228">
        <v>39692</v>
      </c>
      <c r="I71" s="61">
        <v>3986.6666666666665</v>
      </c>
    </row>
    <row r="72" spans="7:9" x14ac:dyDescent="0.25">
      <c r="G72" s="60">
        <f t="shared" si="1"/>
        <v>2008</v>
      </c>
      <c r="H72" s="228">
        <v>39722</v>
      </c>
      <c r="I72" s="61">
        <v>4351.95652173913</v>
      </c>
    </row>
    <row r="73" spans="7:9" x14ac:dyDescent="0.25">
      <c r="G73" s="60">
        <f t="shared" si="1"/>
        <v>2008</v>
      </c>
      <c r="H73" s="228">
        <v>39753</v>
      </c>
      <c r="I73" s="61">
        <v>4799</v>
      </c>
    </row>
    <row r="74" spans="7:9" x14ac:dyDescent="0.25">
      <c r="G74" s="60">
        <f t="shared" si="1"/>
        <v>2008</v>
      </c>
      <c r="H74" s="228">
        <v>39783</v>
      </c>
      <c r="I74" s="61">
        <v>4874.2857142857147</v>
      </c>
    </row>
    <row r="75" spans="7:9" x14ac:dyDescent="0.25">
      <c r="G75" s="60">
        <f t="shared" si="1"/>
        <v>2009</v>
      </c>
      <c r="H75" s="228">
        <v>39814</v>
      </c>
      <c r="I75" s="61">
        <v>4978.5714285714284</v>
      </c>
    </row>
    <row r="76" spans="7:9" x14ac:dyDescent="0.25">
      <c r="G76" s="60">
        <f t="shared" si="1"/>
        <v>2009</v>
      </c>
      <c r="H76" s="228">
        <v>39845</v>
      </c>
      <c r="I76" s="61">
        <v>5085.75</v>
      </c>
    </row>
    <row r="77" spans="7:9" x14ac:dyDescent="0.25">
      <c r="G77" s="60">
        <f t="shared" si="1"/>
        <v>2009</v>
      </c>
      <c r="H77" s="228">
        <v>39873</v>
      </c>
      <c r="I77" s="61">
        <v>5124.545454545455</v>
      </c>
    </row>
    <row r="78" spans="7:9" x14ac:dyDescent="0.25">
      <c r="G78" s="60">
        <f t="shared" si="1"/>
        <v>2009</v>
      </c>
      <c r="H78" s="228">
        <v>39904</v>
      </c>
      <c r="I78" s="61">
        <v>5034.5</v>
      </c>
    </row>
    <row r="79" spans="7:9" x14ac:dyDescent="0.25">
      <c r="G79" s="60">
        <f t="shared" si="1"/>
        <v>2009</v>
      </c>
      <c r="H79" s="228">
        <v>39934</v>
      </c>
      <c r="I79" s="61">
        <v>5026.8421052631575</v>
      </c>
    </row>
    <row r="80" spans="7:9" x14ac:dyDescent="0.25">
      <c r="G80" s="60">
        <f t="shared" si="1"/>
        <v>2009</v>
      </c>
      <c r="H80" s="228">
        <v>39965</v>
      </c>
      <c r="I80" s="61">
        <v>5016.1904761904761</v>
      </c>
    </row>
    <row r="81" spans="7:9" x14ac:dyDescent="0.25">
      <c r="G81" s="60">
        <f t="shared" si="1"/>
        <v>2009</v>
      </c>
      <c r="H81" s="228">
        <v>39995</v>
      </c>
      <c r="I81" s="61">
        <v>4998.695652173913</v>
      </c>
    </row>
    <row r="82" spans="7:9" x14ac:dyDescent="0.25">
      <c r="G82" s="60">
        <f t="shared" si="1"/>
        <v>2009</v>
      </c>
      <c r="H82" s="228">
        <v>40026</v>
      </c>
      <c r="I82" s="61">
        <v>4944.7619047619046</v>
      </c>
    </row>
    <row r="83" spans="7:9" x14ac:dyDescent="0.25">
      <c r="G83" s="60">
        <f t="shared" si="1"/>
        <v>2009</v>
      </c>
      <c r="H83" s="228">
        <v>40057</v>
      </c>
      <c r="I83" s="61">
        <v>4923.8095238095239</v>
      </c>
    </row>
    <row r="84" spans="7:9" x14ac:dyDescent="0.25">
      <c r="G84" s="60">
        <f t="shared" si="1"/>
        <v>2009</v>
      </c>
      <c r="H84" s="228">
        <v>40087</v>
      </c>
      <c r="I84" s="61">
        <v>4870</v>
      </c>
    </row>
    <row r="85" spans="7:9" x14ac:dyDescent="0.25">
      <c r="G85" s="60">
        <f t="shared" si="1"/>
        <v>2009</v>
      </c>
      <c r="H85" s="228">
        <v>40118</v>
      </c>
      <c r="I85" s="61">
        <v>4828.5714285714284</v>
      </c>
    </row>
    <row r="86" spans="7:9" x14ac:dyDescent="0.25">
      <c r="G86" s="60">
        <f t="shared" si="1"/>
        <v>2009</v>
      </c>
      <c r="H86" s="228">
        <v>40148</v>
      </c>
      <c r="I86" s="61">
        <v>4649.0476190476193</v>
      </c>
    </row>
    <row r="87" spans="7:9" x14ac:dyDescent="0.25">
      <c r="G87" s="60">
        <f t="shared" si="1"/>
        <v>2010</v>
      </c>
      <c r="H87" s="228">
        <v>40179</v>
      </c>
      <c r="I87" s="61">
        <v>4655.5</v>
      </c>
    </row>
    <row r="88" spans="7:9" x14ac:dyDescent="0.25">
      <c r="G88" s="60">
        <f t="shared" si="1"/>
        <v>2010</v>
      </c>
      <c r="H88" s="228">
        <v>40210</v>
      </c>
      <c r="I88" s="61">
        <v>4694.75</v>
      </c>
    </row>
    <row r="89" spans="7:9" x14ac:dyDescent="0.25">
      <c r="G89" s="60">
        <f t="shared" si="1"/>
        <v>2010</v>
      </c>
      <c r="H89" s="228">
        <v>40238</v>
      </c>
      <c r="I89" s="61">
        <v>4693.909090909091</v>
      </c>
    </row>
    <row r="90" spans="7:9" x14ac:dyDescent="0.25">
      <c r="G90" s="60">
        <f t="shared" si="1"/>
        <v>2010</v>
      </c>
      <c r="H90" s="228">
        <v>40269</v>
      </c>
      <c r="I90" s="61">
        <v>4700.1000000000004</v>
      </c>
    </row>
    <row r="91" spans="7:9" x14ac:dyDescent="0.25">
      <c r="G91" s="60">
        <f t="shared" si="1"/>
        <v>2010</v>
      </c>
      <c r="H91" s="228">
        <v>40299</v>
      </c>
      <c r="I91" s="61">
        <v>4726.9523809523807</v>
      </c>
    </row>
    <row r="92" spans="7:9" x14ac:dyDescent="0.25">
      <c r="G92" s="60">
        <f t="shared" si="1"/>
        <v>2010</v>
      </c>
      <c r="H92" s="228">
        <v>40330</v>
      </c>
      <c r="I92" s="61">
        <v>4752.090909090909</v>
      </c>
    </row>
    <row r="93" spans="7:9" x14ac:dyDescent="0.25">
      <c r="G93" s="60">
        <f t="shared" si="1"/>
        <v>2010</v>
      </c>
      <c r="H93" s="228">
        <v>40360</v>
      </c>
      <c r="I93" s="61">
        <v>4757</v>
      </c>
    </row>
    <row r="94" spans="7:9" x14ac:dyDescent="0.25">
      <c r="G94" s="60">
        <f t="shared" si="1"/>
        <v>2010</v>
      </c>
      <c r="H94" s="228">
        <v>40391</v>
      </c>
      <c r="I94" s="61">
        <v>4755.772727272727</v>
      </c>
    </row>
    <row r="95" spans="7:9" x14ac:dyDescent="0.25">
      <c r="G95" s="60">
        <f t="shared" si="1"/>
        <v>2010</v>
      </c>
      <c r="H95" s="228">
        <v>40422</v>
      </c>
      <c r="I95" s="61">
        <v>4783.4761904761908</v>
      </c>
    </row>
    <row r="96" spans="7:9" x14ac:dyDescent="0.25">
      <c r="G96" s="60">
        <f t="shared" si="1"/>
        <v>2010</v>
      </c>
      <c r="H96" s="228">
        <v>40452</v>
      </c>
      <c r="I96" s="61">
        <v>4917.1428571428569</v>
      </c>
    </row>
    <row r="97" spans="7:9" x14ac:dyDescent="0.25">
      <c r="G97" s="60">
        <f t="shared" si="1"/>
        <v>2010</v>
      </c>
      <c r="H97" s="228">
        <v>40483</v>
      </c>
      <c r="I97" s="61">
        <v>4796.636363636364</v>
      </c>
    </row>
    <row r="98" spans="7:9" x14ac:dyDescent="0.25">
      <c r="G98" s="60">
        <f t="shared" si="1"/>
        <v>2010</v>
      </c>
      <c r="H98" s="228">
        <v>40513</v>
      </c>
      <c r="I98" s="61">
        <v>4570.227272727273</v>
      </c>
    </row>
    <row r="99" spans="7:9" x14ac:dyDescent="0.25">
      <c r="G99" s="60">
        <f t="shared" si="1"/>
        <v>2011</v>
      </c>
      <c r="H99" s="228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8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8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8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8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8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8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8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8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8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8">
        <v>40848</v>
      </c>
      <c r="I109" s="61">
        <v>4309</v>
      </c>
    </row>
    <row r="110" spans="7:9" x14ac:dyDescent="0.25">
      <c r="G110" s="60">
        <f t="shared" si="1"/>
        <v>2011</v>
      </c>
      <c r="H110" s="228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8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8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8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8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8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8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8">
        <v>41091</v>
      </c>
      <c r="I117" s="61">
        <v>4438</v>
      </c>
    </row>
    <row r="118" spans="7:9" x14ac:dyDescent="0.25">
      <c r="G118" s="60">
        <f t="shared" si="1"/>
        <v>2012</v>
      </c>
      <c r="H118" s="228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8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8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8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8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8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8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8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8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8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8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8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8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8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8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8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8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8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8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8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8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8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8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8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8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8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8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8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8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8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8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8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8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8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8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8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8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8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8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8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8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8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8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8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8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8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8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8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8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8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8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8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8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8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8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8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8">
        <v>42826</v>
      </c>
      <c r="I174" s="61">
        <v>5569.53</v>
      </c>
    </row>
    <row r="175" spans="7:9" x14ac:dyDescent="0.25">
      <c r="G175" s="60">
        <f t="shared" si="2"/>
        <v>2017</v>
      </c>
      <c r="H175" s="228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8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8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8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8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8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8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8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8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8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8">
        <v>43160</v>
      </c>
      <c r="I185" s="61">
        <v>5531.7945</v>
      </c>
    </row>
    <row r="186" spans="7:9" x14ac:dyDescent="0.25">
      <c r="G186" s="60">
        <f t="shared" si="2"/>
        <v>2018</v>
      </c>
      <c r="H186" s="228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8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8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8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8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8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8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8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8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8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8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8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8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8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8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8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8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8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8">
        <v>43739</v>
      </c>
      <c r="I204" s="61">
        <v>6439.38195652174</v>
      </c>
    </row>
    <row r="205" spans="7:9" x14ac:dyDescent="0.25">
      <c r="G205" s="60">
        <f t="shared" si="3"/>
        <v>2019</v>
      </c>
      <c r="H205" s="228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8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8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8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8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8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8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8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8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8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8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8">
        <v>44105</v>
      </c>
      <c r="I216" s="61">
        <v>7018.63590909091</v>
      </c>
    </row>
    <row r="217" spans="7:9" x14ac:dyDescent="0.25">
      <c r="G217" s="60">
        <f t="shared" si="3"/>
        <v>2020</v>
      </c>
      <c r="H217" s="228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8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8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8">
        <v>44228</v>
      </c>
      <c r="I220" s="61">
        <v>6723.152</v>
      </c>
    </row>
    <row r="221" spans="7:9" x14ac:dyDescent="0.25">
      <c r="G221" s="60">
        <f t="shared" si="3"/>
        <v>2021</v>
      </c>
      <c r="H221" s="228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8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8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8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8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8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8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8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8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8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8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8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8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8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8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8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8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8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8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8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8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8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8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8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8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8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8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8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8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8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8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8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8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8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8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8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8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8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8">
        <v>45413</v>
      </c>
      <c r="I259" s="229">
        <v>7506.9517499999993</v>
      </c>
    </row>
    <row r="260" spans="7:9" x14ac:dyDescent="0.25">
      <c r="G260" s="60">
        <f t="shared" ref="G260:G262" si="4">YEAR(H260)</f>
        <v>2024</v>
      </c>
      <c r="H260" s="228">
        <v>45444</v>
      </c>
      <c r="I260" s="229">
        <v>7529.649736842106</v>
      </c>
    </row>
    <row r="261" spans="7:9" x14ac:dyDescent="0.25">
      <c r="G261" s="60">
        <f t="shared" si="4"/>
        <v>2024</v>
      </c>
      <c r="H261" s="228">
        <v>45474</v>
      </c>
      <c r="I261" s="229">
        <v>7554.6780434782604</v>
      </c>
    </row>
    <row r="262" spans="7:9" x14ac:dyDescent="0.25">
      <c r="G262" s="60">
        <f t="shared" si="4"/>
        <v>2024</v>
      </c>
      <c r="H262" s="228">
        <v>45505</v>
      </c>
      <c r="I262" s="229">
        <v>7594.0761904761894</v>
      </c>
    </row>
    <row r="263" spans="7:9" x14ac:dyDescent="0.25">
      <c r="G263" s="60">
        <f t="shared" ref="G263" si="5">YEAR(H263)</f>
        <v>2024</v>
      </c>
      <c r="H263" s="228">
        <v>45536</v>
      </c>
      <c r="I263" s="229">
        <v>7764.5704999999998</v>
      </c>
    </row>
    <row r="264" spans="7:9" x14ac:dyDescent="0.25">
      <c r="G264" s="60">
        <f t="shared" ref="G264" si="6">YEAR(H264)</f>
        <v>2024</v>
      </c>
      <c r="H264" s="228">
        <v>45566</v>
      </c>
      <c r="I264" s="229">
        <v>7866.6784782608702</v>
      </c>
    </row>
    <row r="265" spans="7:9" x14ac:dyDescent="0.25">
      <c r="H265" s="155"/>
    </row>
    <row r="266" spans="7:9" x14ac:dyDescent="0.25">
      <c r="H266" s="155"/>
    </row>
    <row r="267" spans="7:9" x14ac:dyDescent="0.25">
      <c r="H267" s="155"/>
    </row>
    <row r="268" spans="7:9" x14ac:dyDescent="0.25">
      <c r="H268" s="15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 2 0 2 4 - 0 8 - 3 0 T 1 2 : 1 2 : 3 6 . 7 4 4 1 5 5 2 - 0 4 : 0 0 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1E9C93AF-8BD2-4FC4-9589-7E5FB16CDCB8}">
  <ds:schemaRefs/>
</ds:datastoreItem>
</file>

<file path=customXml/itemProps10.xml><?xml version="1.0" encoding="utf-8"?>
<ds:datastoreItem xmlns:ds="http://schemas.openxmlformats.org/officeDocument/2006/customXml" ds:itemID="{C0CFDE4F-EE17-40AB-BBE0-A28B70674B90}">
  <ds:schemaRefs/>
</ds:datastoreItem>
</file>

<file path=customXml/itemProps11.xml><?xml version="1.0" encoding="utf-8"?>
<ds:datastoreItem xmlns:ds="http://schemas.openxmlformats.org/officeDocument/2006/customXml" ds:itemID="{3E711774-95B6-4A82-984E-8287B4BFC2D7}">
  <ds:schemaRefs/>
</ds:datastoreItem>
</file>

<file path=customXml/itemProps12.xml><?xml version="1.0" encoding="utf-8"?>
<ds:datastoreItem xmlns:ds="http://schemas.openxmlformats.org/officeDocument/2006/customXml" ds:itemID="{B0173BFA-81D8-4B94-AFA5-4E01D00974A2}">
  <ds:schemaRefs/>
</ds:datastoreItem>
</file>

<file path=customXml/itemProps13.xml><?xml version="1.0" encoding="utf-8"?>
<ds:datastoreItem xmlns:ds="http://schemas.openxmlformats.org/officeDocument/2006/customXml" ds:itemID="{08E51D19-2E06-4AAD-A876-484C0F00036C}">
  <ds:schemaRefs/>
</ds:datastoreItem>
</file>

<file path=customXml/itemProps14.xml><?xml version="1.0" encoding="utf-8"?>
<ds:datastoreItem xmlns:ds="http://schemas.openxmlformats.org/officeDocument/2006/customXml" ds:itemID="{9DE93DF6-EED4-443F-BEFB-DF5CA26D3E86}">
  <ds:schemaRefs/>
</ds:datastoreItem>
</file>

<file path=customXml/itemProps15.xml><?xml version="1.0" encoding="utf-8"?>
<ds:datastoreItem xmlns:ds="http://schemas.openxmlformats.org/officeDocument/2006/customXml" ds:itemID="{520A2E4E-0DE2-41D8-A1F3-4E044C06BDA1}">
  <ds:schemaRefs/>
</ds:datastoreItem>
</file>

<file path=customXml/itemProps16.xml><?xml version="1.0" encoding="utf-8"?>
<ds:datastoreItem xmlns:ds="http://schemas.openxmlformats.org/officeDocument/2006/customXml" ds:itemID="{2B27D2BE-DB0C-442A-9B9A-319DB9737AF5}">
  <ds:schemaRefs/>
</ds:datastoreItem>
</file>

<file path=customXml/itemProps2.xml><?xml version="1.0" encoding="utf-8"?>
<ds:datastoreItem xmlns:ds="http://schemas.openxmlformats.org/officeDocument/2006/customXml" ds:itemID="{445DC530-7859-4056-894E-08F6F82B9DD0}">
  <ds:schemaRefs/>
</ds:datastoreItem>
</file>

<file path=customXml/itemProps3.xml><?xml version="1.0" encoding="utf-8"?>
<ds:datastoreItem xmlns:ds="http://schemas.openxmlformats.org/officeDocument/2006/customXml" ds:itemID="{F1357F19-81D4-4D5E-AA1B-509255AD82D1}">
  <ds:schemaRefs/>
</ds:datastoreItem>
</file>

<file path=customXml/itemProps4.xml><?xml version="1.0" encoding="utf-8"?>
<ds:datastoreItem xmlns:ds="http://schemas.openxmlformats.org/officeDocument/2006/customXml" ds:itemID="{F9FD969B-CEEB-4C73-A209-8E18308BEC3C}">
  <ds:schemaRefs/>
</ds:datastoreItem>
</file>

<file path=customXml/itemProps5.xml><?xml version="1.0" encoding="utf-8"?>
<ds:datastoreItem xmlns:ds="http://schemas.openxmlformats.org/officeDocument/2006/customXml" ds:itemID="{4A68D4CC-A3B8-4521-8EE3-C8151FFA7395}">
  <ds:schemaRefs/>
</ds:datastoreItem>
</file>

<file path=customXml/itemProps6.xml><?xml version="1.0" encoding="utf-8"?>
<ds:datastoreItem xmlns:ds="http://schemas.openxmlformats.org/officeDocument/2006/customXml" ds:itemID="{8C31DAE3-5F21-4DCF-A926-47905889BF68}">
  <ds:schemaRefs/>
</ds:datastoreItem>
</file>

<file path=customXml/itemProps7.xml><?xml version="1.0" encoding="utf-8"?>
<ds:datastoreItem xmlns:ds="http://schemas.openxmlformats.org/officeDocument/2006/customXml" ds:itemID="{39784B48-2F0D-4D5C-85AC-0F6C8D383958}">
  <ds:schemaRefs/>
</ds:datastoreItem>
</file>

<file path=customXml/itemProps8.xml><?xml version="1.0" encoding="utf-8"?>
<ds:datastoreItem xmlns:ds="http://schemas.openxmlformats.org/officeDocument/2006/customXml" ds:itemID="{E79C05DC-125D-4105-978D-57DCAE16C8F3}">
  <ds:schemaRefs/>
</ds:datastoreItem>
</file>

<file path=customXml/itemProps9.xml><?xml version="1.0" encoding="utf-8"?>
<ds:datastoreItem xmlns:ds="http://schemas.openxmlformats.org/officeDocument/2006/customXml" ds:itemID="{2C48D2A5-D46F-4402-94C2-7C771042B6B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2024-11-18T13:03:26Z</dcterms:modified>
</cp:coreProperties>
</file>