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EDCEA750-B92E-48CF-BC7C-7603176F95BD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serie_situfin">'Situfin serie mensual'!$A$1:$JE$96</definedName>
    <definedName name="TC_mes">Aux!$H$3:$I$270</definedName>
    <definedName name="tipo_cambio">Aux!$G$3:$I$270</definedName>
  </definedNames>
  <calcPr calcId="19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G262" i="3" l="1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G261" i="3" l="1"/>
  <c r="Q6" i="3" l="1"/>
  <c r="Q5" i="3"/>
  <c r="G260" i="3" l="1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6" i="3"/>
  <c r="W6" i="3" s="1"/>
  <c r="P5" i="3"/>
  <c r="W5" i="3" s="1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38" i="10" s="1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D31" i="12" l="1"/>
  <c r="H10" i="12"/>
  <c r="C31" i="12"/>
  <c r="G10" i="12"/>
  <c r="T38" i="10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R6" i="3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V38" i="10" l="1"/>
  <c r="T43" i="10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del BCP - julio 2024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<sst xmlns="http://schemas.openxmlformats.org/spreadsheetml/2006/main" count="484" uniqueCount="213">
  <si>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</si>
  <si>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</si>
  <si>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</si>
  <si>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</si>
  <si>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</si>
  <si>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</si>
  <si>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</si>
  <si>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</si>
  <si>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</si>
  <si>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</si>
  <si>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</si>
  <si>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</si>
  <si>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</si>
  <si>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</si>
  <si>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</si>
  <si>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</si>
  <si>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</si>
  <si>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</si>
  <si>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</si>
  <si>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</si>
  <si>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</si>
  <si>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</si>
  <si>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</si>
  <si>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</si>
  <si>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</si>
  <si>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</si>
  <si>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</si>
  <si>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</si>
  <si>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</si>
  <si>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</si>
  <si>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</si>
  <si>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</si>
  <si>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</si>
  <si>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</si>
  <si>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</si>
  <si>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</si>
  <si>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</si>
  <si>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</si>
  <si>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</si>
  <si>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</si>
  <si>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</si>
  <si>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</si>
  <si>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</si>
  <si>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</si>
  <si>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</si>
  <si>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</si>
  <si>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</si>
  <si>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</si>
  <si>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</si>
  <si>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</si>
  <si>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</si>
  <si>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</si>
  <si>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</si>
  <si>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</si>
  <si>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</si>
  <si>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</si>
  <si>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</si>
  <si>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</si>
  <si>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</si>
  <si>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</si>
  <si>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</si>
  <si>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</si>
  <si>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</si>
  <si>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</si>
  <si>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</si>
  <si>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</si>
  <si>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</si>
  <si>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</si>
  <si>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</si>
  <si>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</si>
  <si>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</si>
  <si>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</si>
  <si>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</si>
  <si>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</si>
  <si>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</si>
  <si>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</si>
  <si>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</si>
  <si>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</si>
  <si>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</si>
  <si>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</si>
  <si>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</si>
  <si>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</si>
  <si>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</si>
  <si>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</si>
  <si>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</si>
  <si>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</si>
  <si>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</si>
  <si>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</si>
  <si>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</si>
  <si>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</si>
  <si>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</si>
  <si>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</si>
  <si>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</si>
  <si>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</si>
  <si>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</si>
  <si>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</si>
  <si>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</si>
  <si>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</si>
  <si>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</si>
  <si>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</si>
  <si>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</si>
  <si>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</si>
  <si>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</si>
  <si>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</si>
  <si>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</si>
  <si>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</si>
  <si>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</si>
  <si>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</si>
  <si>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</si>
  <si>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</si>
  <si>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</si>
  <si>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</si>
  <si>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</si>
  <si>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</si>
  <si>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</si>
  <si>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</si>
  <si>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</si>
  <si>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</si>
  <si>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</si>
  <si>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</si>
  <si>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</si>
  <si>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</si>
  <si>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</si>
  <si>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</si>
  <si>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</si>
  <si>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</si>
  <si>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</si>
  <si>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</si>
  <si>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</si>
  <si>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</si>
  <si>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</si>
  <si>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</si>
  <si>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</si>
  <si>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</si>
  <si>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</si>
  <si>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</si>
  <si>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</si>
  <si>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</si>
  <si>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</si>
  <si>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</si>
  <si>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</si>
  <si>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</si>
  <si>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</si>
  <si>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</si>
  <si>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</si>
  <si>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</si>
  <si>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</si>
  <si>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</si>
  <si>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</si>
  <si>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</si>
  <si>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</si>
  <si>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</si>
  <si>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</si>
  <si>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</si>
  <si>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</si>
  <si>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</si>
  <si>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</si>
  <si>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</si>
  <si>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</si>
  <si>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</si>
  <si>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</si>
  <si>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</si>
  <si>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</si>
  <si>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</si>
  <si>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</si>
  <si>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</si>
  <si>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</si>
  <si>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</si>
  <si>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</si>
  <si>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</si>
  <si>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</si>
  <si>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</si>
  <si>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</si>
  <si>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</si>
  <si>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</si>
  <si>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</si>
  <si>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</si>
  <si>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</si>
  <si>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</si>
  <si>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</si>
  <si>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</si>
  <si>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</si>
  <si>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</si>
  <si>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</si>
  <si>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</si>
  <si>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</si>
  <si>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</si>
  <si>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</si>
  <si>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</si>
  <si>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</si>
  <si>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</si>
  <si>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</si>
  <si>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</si>
  <si>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</si>
  <si>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</si>
  <si>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</si>
  <si>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</si>
  <si>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</si>
  <si>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</si>
  <si>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</si>
  <si>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</si>
  <si>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</si>
  <si>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jul</t>
  </si>
  <si>
    <t>ago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</si>
  <si>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</si>
  <si>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</si>
  <si>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</si>
  <si>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</si>
  <si>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</si>
  <si>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</si>
  <si>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P/ hoja resumen</t>
  </si>
  <si>
    <t>Ejecución
Ene-Ago
2023</t>
  </si>
  <si>
    <t>Ejecución
Ene-Ago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</si>
</sst>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  <numFmt numFmtId="187" formatCode="[$PYG]\ #,##0.0;[$PYG]\ \-#,##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b/>
      <sz val="7.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42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5" fontId="0" fillId="0" borderId="0" xfId="0" applyNumberFormat="1"/>
    <xf numFmtId="187" fontId="0" fillId="0" borderId="0" xfId="1" applyNumberFormat="1" applyFont="1" applyBorder="1"/>
    <xf numFmtId="17" fontId="0" fillId="0" borderId="4" xfId="0" applyNumberFormat="1" applyBorder="1"/>
    <xf numFmtId="3" fontId="0" fillId="2" borderId="4" xfId="0" applyNumberFormat="1" applyFill="1" applyBorder="1"/>
    <xf numFmtId="0" fontId="50" fillId="0" borderId="0" xfId="2" applyNumberFormat="1" applyFont="1" applyBorder="1" applyAlignment="1">
      <alignment horizontal="center" vertical="center"/>
    </xf>
    <xf numFmtId="3" fontId="0" fillId="0" borderId="4" xfId="0" applyNumberFormat="1" applyFill="1" applyBorder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156,5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CAF; USD 151,8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45% BONOS; USD 379,4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LLAVE EN MANO; USD 60,2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3% FONPLATA; USD 27,7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8% OTROS; USD 63,3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49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156,5</a:t>
          </a:r>
        </a:p>
      </dsp:txBody>
      <dsp:txXfrm>
        <a:off x="14621" y="64299"/>
        <a:ext cx="1977729" cy="270278"/>
      </dsp:txXfrm>
    </dsp:sp>
    <dsp:sp modelId="{0D666006-1837-4A28-932F-50B679C0692E}">
      <dsp:nvSpPr>
        <dsp:cNvPr id="0" name=""/>
        <dsp:cNvSpPr/>
      </dsp:nvSpPr>
      <dsp:spPr>
        <a:xfrm>
          <a:off x="0" y="387729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CAF; USD 151,8</a:t>
          </a:r>
        </a:p>
      </dsp:txBody>
      <dsp:txXfrm>
        <a:off x="14621" y="402350"/>
        <a:ext cx="1977729" cy="270278"/>
      </dsp:txXfrm>
    </dsp:sp>
    <dsp:sp modelId="{9C34921F-1EBE-4C36-AC6D-74BE6E9E4C7E}">
      <dsp:nvSpPr>
        <dsp:cNvPr id="0" name=""/>
        <dsp:cNvSpPr/>
      </dsp:nvSpPr>
      <dsp:spPr>
        <a:xfrm>
          <a:off x="0" y="7408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45% BONOS; USD 379,4</a:t>
          </a:r>
        </a:p>
      </dsp:txBody>
      <dsp:txXfrm>
        <a:off x="14621" y="755499"/>
        <a:ext cx="1977729" cy="270278"/>
      </dsp:txXfrm>
    </dsp:sp>
    <dsp:sp modelId="{399C80D5-4A8C-41CC-9CD9-5EE6570C022A}">
      <dsp:nvSpPr>
        <dsp:cNvPr id="0" name=""/>
        <dsp:cNvSpPr/>
      </dsp:nvSpPr>
      <dsp:spPr>
        <a:xfrm>
          <a:off x="0" y="10864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LLAVE EN MANO; USD 60,2</a:t>
          </a:r>
        </a:p>
      </dsp:txBody>
      <dsp:txXfrm>
        <a:off x="14621" y="1101099"/>
        <a:ext cx="1977729" cy="270278"/>
      </dsp:txXfrm>
    </dsp:sp>
    <dsp:sp modelId="{2560457B-587D-45C6-B1E3-750BC51083D9}">
      <dsp:nvSpPr>
        <dsp:cNvPr id="0" name=""/>
        <dsp:cNvSpPr/>
      </dsp:nvSpPr>
      <dsp:spPr>
        <a:xfrm>
          <a:off x="0" y="14320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3% FONPLATA; USD 27,7</a:t>
          </a:r>
        </a:p>
      </dsp:txBody>
      <dsp:txXfrm>
        <a:off x="14621" y="1446699"/>
        <a:ext cx="1977729" cy="270278"/>
      </dsp:txXfrm>
    </dsp:sp>
    <dsp:sp modelId="{CC4A0EB8-B574-4474-8026-DBB4FEDF31CB}">
      <dsp:nvSpPr>
        <dsp:cNvPr id="0" name=""/>
        <dsp:cNvSpPr/>
      </dsp:nvSpPr>
      <dsp:spPr>
        <a:xfrm>
          <a:off x="0" y="1777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8% OTROS; USD 63,3</a:t>
          </a:r>
        </a:p>
      </dsp:txBody>
      <dsp:txXfrm>
        <a:off x="14621" y="1792299"/>
        <a:ext cx="1977729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-1.548,9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-3,6%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1.321,1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-1,1%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2,5%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93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936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-481,1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936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-1,6%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11,5%.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(↑21,7%).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Leve crecimiento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2,4%).</a:t>
          </a:r>
        </a:p>
      </xdr:txBody>
    </xdr:sp>
    <xdr:clientData/>
  </xdr:twoCellAnchor>
  <xdr:twoCellAnchor>
    <xdr:from>
      <xdr:col>5</xdr:col>
      <xdr:colOff>56030</xdr:colOff>
      <xdr:row>17</xdr:row>
      <xdr:rowOff>123266</xdr:rowOff>
    </xdr:from>
    <xdr:to>
      <xdr:col>9</xdr:col>
      <xdr:colOff>113179</xdr:colOff>
      <xdr:row>24</xdr:row>
      <xdr:rowOff>63316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70295" y="3585884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↑22,9%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↑19,9%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Ingresos de Yacyretá en junio de 2024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(USD 112 millones).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↑11,2% y ↑5,9%,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7,4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 de 2023.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↑2,3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↑39,8%)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838,9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482,2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415738</xdr:colOff>
      <xdr:row>0</xdr:row>
      <xdr:rowOff>78441</xdr:rowOff>
    </xdr:from>
    <xdr:to>
      <xdr:col>7</xdr:col>
      <xdr:colOff>45944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8226238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758190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254</xdr:row>
      <xdr:rowOff>0</xdr:rowOff>
    </xdr:from>
    <xdr:to>
      <xdr:col>15</xdr:col>
      <xdr:colOff>261657</xdr:colOff>
      <xdr:row>263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971416E7-1AF7-48C6-9E02-7DB5A04FAD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39000" y="48777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537.559962847219" createdVersion="6" refreshedVersion="6" minRefreshableVersion="3" recordCount="260" xr:uid="{00000000-000A-0000-FFFF-FFFF01000000}">
  <cacheSource type="worksheet">
    <worksheetSource name="Datos1"/>
  </cacheSource>
  <cacheFields count="144">
    <cacheField name="Periodo" numFmtId="17">
      <sharedItems containsSemiMixedTypes="0" containsNonDate="0" containsDate="1" containsString="0" minDate="2003-01-01T00:00:00" maxDate="2024-08-02T00:00:00" count="260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  <fieldGroup par="143" base="0">
        <rangePr groupBy="months" startDate="2003-01-01T00:00:00" endDate="2024-08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8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4302.3766856193"/>
    </cacheField>
    <cacheField name="Tipo de cambio Gs./US$" numFmtId="3">
      <sharedItems containsSemiMixedTypes="0" containsString="0" containsNumber="1" minValue="3873.0454545454545" maxValue="7598.85619047619"/>
    </cacheField>
    <cacheField name="Ingreso Total (Recaudado)" numFmtId="164">
      <sharedItems containsSemiMixedTypes="0" containsString="0" containsNumber="1" minValue="377.89362093800003" maxValue="5401.0182893279998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9162.227725249999"/>
    </cacheField>
    <cacheField name="IT anualizado (% del PIB)" numFmtId="164">
      <sharedItems containsString="0" containsBlank="1" containsNumber="1" minValue="11.588447733995775" maxValue="15.033377921984146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6120386270004"/>
    </cacheField>
    <cacheField name="Presión Tributaria" numFmtId="164">
      <sharedItems containsSemiMixedTypes="0" containsString="0" containsNumber="1" minValue="0.44839968072897068" maxValue="1.3124680961371527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6273.302938075001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3039.3518615140001"/>
    </cacheField>
    <cacheField name="Imp. Internos suma 12 meses" numFmtId="164">
      <sharedItems containsString="0" containsBlank="1" containsNumber="1" minValue="1629.2645083789998" maxValue="21816.626734704001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393.8137800120001"/>
    </cacheField>
    <cacheField name="Imp. Externos suma 12 meses" numFmtId="164">
      <sharedItems containsString="0" containsBlank="1" containsNumber="1" minValue="2077.0287278750002" maxValue="14225.493627598999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781.40767091300006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2174104285239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52660.435120181006"/>
    </cacheField>
    <cacheField name="GT anualizado (% del PIB)" numFmtId="164">
      <sharedItems containsString="0" containsBlank="1" containsNumber="1" minValue="9.0125693393254647" maxValue="16.152387864442495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40242564336291"/>
    </cacheField>
    <cacheField name="Gasto corr. anualizado" numFmtId="164">
      <sharedItems containsString="0" containsBlank="1" containsNumber="1" minValue="4933.4677585969994" maxValue="49357.359225523993"/>
    </cacheField>
    <cacheField name="Gasto corr. anualizado (% del PIB)" numFmtId="164">
      <sharedItems containsString="0" containsBlank="1" containsNumber="1" minValue="8.3314725387853326" maxValue="15.287857712876203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505852251620504"/>
    </cacheField>
    <cacheField name="Gto. Corr. Primario anualizado" numFmtId="164">
      <sharedItems containsString="0" containsBlank="1" containsNumber="1" minValue="4501.872478882" maxValue="43024.749867978004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1444.337853172005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16.9027722870001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23.93745091200003"/>
    </cacheField>
    <cacheField name="Intereses (millones de US$)" numFmtId="164">
      <sharedItems containsSemiMixedTypes="0" containsString="0" containsNumber="1" minValue="0.36577484541023186" maxValue="126.26257641770599"/>
    </cacheField>
    <cacheField name="Intereses (% del PIB)" numFmtId="164">
      <sharedItems containsSemiMixedTypes="0" containsString="0" containsNumber="1" minValue="1.9677860282400874E-3" maxValue="0.29130131590858965"/>
    </cacheField>
    <cacheField name="Intereses anualizados" numFmtId="164">
      <sharedItems containsString="0" containsBlank="1" containsNumber="1" minValue="244.70811811499999" maxValue="6332.609357546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4.9855842650004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876026469380911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618224090424772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7.5252545140004"/>
    </cacheField>
    <cacheField name="RON primario (% del PIB)" numFmtId="164">
      <sharedItems containsSemiMixedTypes="0" containsString="0" containsNumber="1" minValue="-1.1483833777708987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tring="0" containsBlank="1" containsNumber="1" minValue="6.8065500000000001E-2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857777773333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90776391287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9.4396523520004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517451197083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33.9"/>
    </cacheField>
    <cacheField name="Ingreso Total def." numFmtId="168">
      <sharedItems containsMixedTypes="1" containsNumber="1" minValue="786.57237707066849" maxValue="4033.620828474981"/>
    </cacheField>
    <cacheField name="Ing. Total def. suma 12m" numFmtId="168">
      <sharedItems containsBlank="1" containsMixedTypes="1" containsNumber="1" minValue="12913.240731654379" maxValue="37316.520700365683"/>
    </cacheField>
    <cacheField name="% Var. Real Ing. Total" numFmtId="0">
      <sharedItems containsBlank="1" containsMixedTypes="1" containsNumber="1" minValue="-8.931243730535543E-2" maxValue="0.2436866189075575"/>
    </cacheField>
    <cacheField name="Ingresos Tributarios def." numFmtId="168">
      <sharedItems containsMixedTypes="1" containsNumber="1" minValue="496.31831362554675" maxValue="3276.7827024846902"/>
    </cacheField>
    <cacheField name="Ing. Trib. Def Sum12m" numFmtId="168">
      <sharedItems containsBlank="1" containsMixedTypes="1" containsNumber="1" minValue="7880.3599714699139" maxValue="27473.096086473241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39542.586926660515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8-02T00:00:00"/>
        <groupItems count="6">
          <s v="&lt;1/1/2003"/>
          <s v="Trim.1"/>
          <s v="Trim.2"/>
          <s v="Trim.3"/>
          <s v="Trim.4"/>
          <s v="&gt;2/8/2024"/>
        </groupItems>
      </fieldGroup>
    </cacheField>
    <cacheField name="Años" numFmtId="0" databaseField="0">
      <fieldGroup base="0">
        <rangePr groupBy="years" startDate="2003-01-01T00:00:00" endDate="2024-08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8/2024"/>
        </groupItems>
      </fieldGroup>
    </cacheField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">
  <r>
    <x v="0"/>
    <x v="0"/>
    <x v="0"/>
    <x v="0"/>
    <n v="49411.959699781924"/>
    <n v="7088.75"/>
    <n v="392.11764131300004"/>
    <n v="0.79356828528039658"/>
    <n v="392.11764131300004"/>
    <m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n v="12.274293149022315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10.492666878267695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12.137908396968301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10.303363638980409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12.214553671871366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10.26517909541836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12.449946879490344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10.169139335716602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12.506849293351635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10.127140465765775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12.87468632478597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10.058354084126327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13.09931351924779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9.8324878272613585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13.411159796858271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9.829391849161101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13.514869272527765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9.9677632713518172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13.611233128401093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9.8881486189113144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13.672808581416252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10.061439383452946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13.772422656571939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9.9960792899287654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13.301159812464492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9.791397125713905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13.485937634046277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9.80376031089623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13.507672184191168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9.8810796116744513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13.546100740872911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9.8631243653266694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13.576817285407666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9.9518938632141403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13.310966783031452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10.002726615909715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13.317621516385605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10.12658639781864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13.106937394019443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10.12866145191335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13.053250970876253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10.050416534681073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12.92230015841923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10.200996180614114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12.805417163720278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10.00238924077108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12.648595070873435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10.047939628081355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12.707632138065383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10.025443599419839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12.928683497282309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10.12199525711959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12.960392765285665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10.013019957571375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12.837962779426258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10.02955374151168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12.891580759394392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9.978962850694395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13.041397023250848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10.00632053874131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12.970426496943142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10.055646710673013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12.910713511191332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9.9826334779015156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12.835367318012697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10.01767844296576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13.030810725362509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10.028818162870653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12.992330299110854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10.006859393076935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12.943094809478005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9.8919425824504543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12.626438036075571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.095774018603869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12.436360708268218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10.016760149072336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12.210342242989386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9.9970499531894337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12.40089585593973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9.9802349971689814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12.20855829777785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9.8956547176655043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12.21237245872373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9.8110934253171127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12.104478195192709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9.6813312564900169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12.101517957863011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9.6559806510959838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12.110043515810595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9.6051911133047359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11.780433428717847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9.5887648027474643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11.82380002023322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9.629406739511864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11.876412257975684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9.7095086908928305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12.03164887813942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9.5523827646541228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12.12182458108639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9.5191723611749577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12.364361390959234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9.5340635470123942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12.113435260658864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9.6223604395672435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12.109020203362629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9.6969100944691125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12.029805603994392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9.596288523848175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12.06308792245294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9.578342310837983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12.071537560950194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9.5135322597742551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11.937888860938495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9.3980302759556906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12.040811993031678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9.3258770524386421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11.889179281468211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9.226781782573509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11.889297065842356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9.1243045297275529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11.84235337337218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9.0125693393254647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11.726506943578492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9.0242796368984237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11.625384058689411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9.0591858383548729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11.588447733995775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9.0905639922776071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11.807572225879351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9.1042090914791576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11.78135802437271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9.2966075780396977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11.787358214362747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9.4337533304419257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11.957574456237696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9.509673930874555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12.047151069160579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9.6951987932039589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12.101286184582174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9.812402235897556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12.176111082294335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10.008804960096684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12.281264919095099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10.108819650280008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12.499158537741764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0.5457972789038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12.443962859820935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10.499970199315419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12.484125725304724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10.46563509221024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12.441819747012488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10.379135686794035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12.25673081661048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10.37855170120538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12.371499766652574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10.260886014433783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12.514862571954058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.316523829940834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12.3632686611573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10.221778008625877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12.321886606472512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10.175138235116668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12.334427811336296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10.102755910405294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12.4258670513867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.96070737544726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12.473709176183496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0.01192822018052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12.5817489679860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9.8568744483508013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12.670018778521598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9.8446016563383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12.816524953456778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.9072564122192972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12.94848782026554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0.05689394385222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13.018383634628893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0.136502570128034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13.05331956116903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.259297770125967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13.001236032164922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.227135362114092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13.211082708775361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.303006609453234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13.271685079334901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0.474582680663705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13.327245085108842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.501566651711503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13.489396171657635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.579170481267942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13.49607259477926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0.582881776325994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13.407103983555739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10.927711935207974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13.565258691302983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11.047336940082426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13.49891925099964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1.290699916806282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13.602997633547497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1.5031885456361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13.679654951061735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1.743031522738596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13.851871144611867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2.00154073458892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13.89691934751545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2.153427899565626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13.988851621761071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2.42676701305779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14.064628505157293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2.479687456821352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14.191525583414597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2.590013117307771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14.036309919597214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2.813033685549698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14.067104691608506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3.33867801145165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14.017171427507062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13.291944436428176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14.03967562597458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.64903037828567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13.955700552507986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3.739588048168013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13.834502999930077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3.603786655362091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13.877870560766899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3.502309746751742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13.676557485037801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3.391044441527647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13.54543860054547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.269504813421902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13.366139987512906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3.140310798870043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13.242188703464681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3.040658451654775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13.082576713314802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3.0568327248863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12.979012848774893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2.901475918451457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12.848014219911395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2.432482458183856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12.893895937045192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12.404693870687691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12.765876607371347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2.155215853463369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12.883809660254723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2.081462293411409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12.862910270779496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2.090108394740231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12.752655947611446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2.03833095735204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13.046494695173859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2.019175951744407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13.127393131546462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2.260043606314184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13.27182936199085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2.378790237365326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13.216009402218367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2.490573528194837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13.403279790565129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2.59909596560853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13.541307629168298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2.701190534743473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13.497750183836029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2.809914197256322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13.7061047721172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12.728031573320784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13.74560152884825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2.798372430578368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13.772192878915725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2.915515260789794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13.835003627711492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2.988762172818578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13.92625596169026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3.087337721910176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13.840218236580057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3.204149856634119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14.007305642131609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3.205706444188776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13.861568909743127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3.33743223545177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13.999900202695144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13.469161595940236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13.85729632070524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3.506169140711144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13.866167001007284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3.513283585700488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13.945338238968986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3.438642043213445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14.094490068090401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13.443978148346959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14.150294510742908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3.583717385506638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14.253117669692795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3.591134468377344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14.196633315096607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3.559457886719452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14.114113508619207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3.448264585264454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13.933494616798635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3.400451073593224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13.814956131813313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3.266113559628282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13.780128964827176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13.1709186930547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14.00360781764091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2.992126575456256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14.126455757990525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2.960004645561789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14.030813343038423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2.966112993359065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14.142005898909815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2.923927378082329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13.894932150070764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12.776992942608663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3.843806517318034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2.831564594140161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13.72074531191222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2.650150017480906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13.80417867469211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2.568017841041659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13.780521813508827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2.66649183768841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13.882943638840363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2.677728238669923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13.923611259296743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12.694912493964384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14.045502645894972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12.617087664847901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14.02926757882771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12.717622040447305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14.020415129680314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2.643407368183084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14.109453018166716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12.7135296400460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14.05702767016724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12.783311949385579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14.190824583338282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12.844278164926983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14.255023484257185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2.634529251254959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14.130501641422082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12.893432023818521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4.073360678683255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13.012729248717607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14.46580663328131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13.167621272405249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14.418883264441476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13.159010992504143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14.43397192534135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13.208035269516218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14.484908269822455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13.23323413644304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14.344027689040853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13.21274169695997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14.393216350790963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13.34451832010102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14.421659915692461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13.342468063598565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14.481310659081005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13.394381926395358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14.109834955240359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13.367857199922911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14.227315960993304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13.509873335224022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14.47089039183363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13.461996312526773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14.541677908023248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13.607412228051793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14.395014838190926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13.583111913733319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14.417421701678041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13.784138622314209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14.344440716539813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13.742873513442504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14.357197856281855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13.8150528358971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14.31998771315015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13.936842664946246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14.25606557964836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14.004576316401796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14.269885897141698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13.999527518331048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14.228840563669875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14.025416287768422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14.210117251745533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14.081686007966477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14.103675426635029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14.136094921319586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14.150741419049504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14.152608139531637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14.243185864236931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14.301191878146975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13.613644477560786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14.573554570300093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13.167798356778178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14.481364643275896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13.226171814003262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14.638295732272548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13.099259478314881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14.801879120397032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13.24866466728094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14.957392715700312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13.336768021529327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15.332113912331568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13.26564868067618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15.471386232849934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13.245495206633434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15.612692198703462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13.543923484022052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16.05162689641524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13.611561612899393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15.856775793675231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13.496829722610352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15.776489748696834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13.372613254694421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15.648319993443184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13.835719887970244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15.35475162204483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14.18216200702037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15.31448016335542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14.17189811829181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15.155946829492709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14.16786765974822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15.002923815841621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13.93919652691514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14.799250852741025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13.827647839776112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14.505862552292134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13.814161549753745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14.447438228287245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13.851615392645298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14.454128125260073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13.7092725466417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14.429570042627132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13.597898713739315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14.465529622908456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3.573038384795851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14.407403502900683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13.676883675305591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14.527146214325811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13.868995182405861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14.494011634204513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14.06646672936540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14.445306497513958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14.024574861426959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14.452733933554185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14.093253103803482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14.42989782745626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14.145764114894975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14.396464842278849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14.232285137541037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14.40461486670834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14.18993933424086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14.4212994983994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14.163682790234844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14.397782483950621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14.037312870584966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14.110563058344738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094.9283837775"/>
    <n v="7373.170681818181"/>
    <n v="3160.2397387120004"/>
    <n v="1.0093551355256456"/>
    <n v="3160.2397387120004"/>
    <n v="41327.270772452997"/>
    <n v="14.038011693416955"/>
    <n v="6.9517947710427963E-2"/>
    <n v="6.9517947710427963E-2"/>
    <n v="0.11618148521496563"/>
    <n v="2313.7939413660006"/>
    <n v="0.73900716096233199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2988690352842E-2"/>
    <n v="91.270490181999989"/>
    <n v="2.9151059920755021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9016302715161741"/>
    <n v="3100.1502207429999"/>
    <n v="41969.121587536007"/>
    <n v="14.258433180226206"/>
    <n v="2972.7567628829997"/>
    <n v="0.94947458211112579"/>
    <n v="39197.617703605007"/>
    <n v="13.315154051305578"/>
    <n v="2678.5949338599999"/>
    <n v="0.85552166165294774"/>
    <n v="35437.712692139998"/>
    <n v="12.038138775225022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952920458178046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921083740282E-2"/>
    <n v="-75.465664395214375"/>
    <n v="-0.22042148680924914"/>
    <n v="354.25134699200055"/>
    <n v="0.11314502883220624"/>
    <n v="360.286152238"/>
    <n v="360.286152238"/>
    <n v="8589.2474462449736"/>
    <n v="1.3953438761408505"/>
    <n v="1.3953438761408505"/>
    <n v="0.11891441601601471"/>
    <n v="48.864480124737263"/>
    <n v="0.11507249705315495"/>
    <n v="0.11507249705315495"/>
    <n v="2.9241018510267005"/>
    <n v="319.86005540600001"/>
    <n v="43.381615482570702"/>
    <n v="855.27072588603892"/>
    <n v="51.664655070999999"/>
    <n v="7.0071150256160619"/>
    <n v="40.426096831999985"/>
    <n v="5.4828646421665557"/>
    <n v="3460.4363729809997"/>
    <n v="1.1052355242047724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880388679126766E-2"/>
    <n v="-3.1445233378359494"/>
    <n v="-6.0348052459994506"/>
    <n v="-5471.1932498629758"/>
    <n v="-1.9274682209487154E-3"/>
    <n v="-1.8675080617553921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094.9283837775"/>
    <n v="7292.0576315789476"/>
    <n v="2725.3689210520001"/>
    <n v="0.87046089667455973"/>
    <n v="5885.6086597640005"/>
    <n v="41033.59822876101"/>
    <n v="13.877895851140822"/>
    <n v="-1.4774194650062911E-2"/>
    <n v="-9.7273438315264138E-2"/>
    <n v="0.10340210325169341"/>
    <n v="1882.3280705669999"/>
    <n v="0.601200434731963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3571445673968E-2"/>
    <n v="165.24954907400002"/>
    <n v="5.2779375867578616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81758576574873"/>
    <n v="6319.3166859350004"/>
    <n v="42279.835645444007"/>
    <n v="14.293782860338563"/>
    <n v="3069.2396354269999"/>
    <n v="0.98029043500342683"/>
    <n v="39494.368792817004"/>
    <n v="13.349030785767569"/>
    <n v="3028.7358025949998"/>
    <n v="0.96735383681543163"/>
    <n v="35949.824435814997"/>
    <n v="12.14642053698150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936598187995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71496098292764"/>
    <n v="-159.05804132190755"/>
    <n v="-0.41588700919773935"/>
    <n v="-453.2937113079999"/>
    <n v="-0.14477836279493264"/>
    <n v="535.47513248199994"/>
    <n v="895.76128471999994"/>
    <n v="8420.3949454869726"/>
    <n v="-0.2397357320502338"/>
    <n v="4.7994337592695668E-2"/>
    <n v="3.6501611462896877E-2"/>
    <n v="73.432652282268592"/>
    <n v="0.17102644723316596"/>
    <n v="0.28609894428632093"/>
    <n v="2.8546997768586575"/>
    <n v="484.16051696599999"/>
    <n v="66.395596610385653"/>
    <n v="826.45494089268846"/>
    <n v="0"/>
    <n v="0"/>
    <n v="51.314615515999947"/>
    <n v="7.0370556718829445"/>
    <n v="3754.641597674"/>
    <n v="1.1992023048906533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87414082160936"/>
    <n v="-3.2705867860563971"/>
    <n v="-988.76884378999989"/>
    <n v="-6122.088005167976"/>
    <n v="-0.31580481002809857"/>
    <n v="-2.0679765372703325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094.9283837775"/>
    <n v="7184.7078260869566"/>
    <n v="3663.6910619100004"/>
    <n v="1.1701534358356693"/>
    <n v="9549.2997216740005"/>
    <n v="41431.88683944301"/>
    <n v="13.93337502733246"/>
    <n v="3.3555629312340463E-2"/>
    <n v="0.12197228875485733"/>
    <n v="9.8464250976300516E-2"/>
    <n v="2541.6816199550003"/>
    <n v="0.81179265121775546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4206955622973"/>
    <n v="179.154591735"/>
    <n v="5.7220534570716665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842119551357621"/>
    <n v="10653.214115547002"/>
    <n v="42707.190716779005"/>
    <n v="14.344461728505859"/>
    <n v="3992.5557868650003"/>
    <n v="1.275190181928181"/>
    <n v="39970.797097813003"/>
    <n v="13.423959481950726"/>
    <n v="3207.8848974200005"/>
    <n v="1.0245726157173396"/>
    <n v="36198.319977865001"/>
    <n v="12.160779193480758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5061756621084136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405851930009281"/>
    <n v="-160.26152992475892"/>
    <n v="-0.41108670117339963"/>
    <n v="114.46452174299986"/>
    <n v="3.6559046910748572E-2"/>
    <n v="615.89220963100001"/>
    <n v="1511.6534943510001"/>
    <n v="8253.577307148973"/>
    <n v="-0.21312832433482654"/>
    <n v="-7.682380292389035E-2"/>
    <n v="-1.2399693287412861E-2"/>
    <n v="85.722652129952579"/>
    <n v="0.19671101439115851"/>
    <n v="0.48280995867747944"/>
    <n v="2.784225801548827"/>
    <n v="513.56038788399997"/>
    <n v="71.47964820772718"/>
    <n v="802.24414003294692"/>
    <n v="138.82846017199998"/>
    <n v="19.322770463668366"/>
    <n v="102.33182174700005"/>
    <n v="14.2430039222254"/>
    <n v="4949.7896392430002"/>
    <n v="1.5809229695269205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1076953369125135"/>
    <n v="-3.1953125027222269"/>
    <n v="-501.42768788800015"/>
    <n v="-5756.404064536976"/>
    <n v="-0.16015196748040994"/>
    <n v="-1.9321322142522577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094.9283837775"/>
    <n v="7173.0261111111104"/>
    <n v="3757.1571939859996"/>
    <n v="1.2000057661044727"/>
    <n v="13306.456915660001"/>
    <n v="41232.919674003999"/>
    <n v="13.782922448021218"/>
    <n v="8.4167517617330656E-3"/>
    <n v="-5.0293455756764693E-2"/>
    <n v="6.9894015276731336E-2"/>
    <n v="2929.0321687449996"/>
    <n v="0.93550929868615618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4119629738686E-2"/>
    <n v="109.46923441599999"/>
    <n v="3.4963592345966583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412636396621248"/>
    <n v="14539.547619201001"/>
    <n v="43396.025695812998"/>
    <n v="14.494230719689563"/>
    <n v="3693.7406979529997"/>
    <n v="1.1797510477159121"/>
    <n v="40700.027800254"/>
    <n v="13.591748594251303"/>
    <n v="3248.3596990299998"/>
    <n v="1.0374999415667023"/>
    <n v="36833.930378629004"/>
    <n v="12.306393851937905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225110614920988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25787355765205E-2"/>
    <n v="-288.98710879564743"/>
    <n v="-0.71130827166834409"/>
    <n v="316.20468925499989"/>
    <n v="0.10099323259155785"/>
    <n v="886.91010285099992"/>
    <n v="2398.563597202"/>
    <n v="8504.9420276649726"/>
    <n v="0.39551026174162995"/>
    <n v="5.524418629258987E-2"/>
    <n v="1.0012132223562897E-2"/>
    <n v="123.64517974877641"/>
    <n v="0.28327194804122341"/>
    <n v="0.76608190671870291"/>
    <n v="2.8505486631893722"/>
    <n v="794.04577485999994"/>
    <n v="110.69885464797245"/>
    <n v="849.77867212354715"/>
    <n v="23.893411927000002"/>
    <n v="3.3310086366462262"/>
    <n v="92.864327990999982"/>
    <n v="12.946325100803961"/>
    <n v="4773.2436065049997"/>
    <n v="1.5245355877033482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45298215988755"/>
    <n v="-3.5618569348577167"/>
    <n v="-570.70541359599997"/>
    <n v="-6801.9506278489762"/>
    <n v="-0.18227871544966556"/>
    <n v="-2.2765021925443198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094.9283837775"/>
    <n v="7207.7045238095252"/>
    <n v="4261.0299709129995"/>
    <n v="1.3609386753432247"/>
    <n v="17567.486886573002"/>
    <n v="41394.628839571"/>
    <n v="13.744521393578903"/>
    <n v="1.5771958095236904E-2"/>
    <n v="3.9447794706896966E-2"/>
    <n v="5.1000832380441175E-2"/>
    <n v="3323.9881686999997"/>
    <n v="1.0616550660397814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470075748271"/>
    <n v="153.70041273300001"/>
    <n v="4.9090674680172725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61785996218171"/>
    <n v="18284.722149029003"/>
    <n v="44084.455875520005"/>
    <n v="14.646962364063688"/>
    <n v="3535.1628177450002"/>
    <n v="1.1291025491833451"/>
    <n v="41355.826507001009"/>
    <n v="13.737954515343585"/>
    <n v="2950.0368438270002"/>
    <n v="0.94221802283906042"/>
    <n v="37120.070865730006"/>
    <n v="12.33926708694375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88452634428471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76007572140777"/>
    <n v="-369.55582741610658"/>
    <n v="-0.90244097048478511"/>
    <n v="1100.9814150029993"/>
    <n v="0.35164460206569248"/>
    <n v="363.67095662999998"/>
    <n v="2762.2345538320001"/>
    <n v="8422.4469063949728"/>
    <n v="-0.18489778886437391"/>
    <n v="1.5841133837978472E-2"/>
    <n v="3.5024420468610096E-4"/>
    <n v="50.45586364267151"/>
    <n v="0.11615357633140218"/>
    <n v="0.88223548305010513"/>
    <n v="2.8143994682729501"/>
    <n v="219.65835102299999"/>
    <n v="30.475493313771807"/>
    <n v="836.56633832215175"/>
    <n v="0"/>
    <n v="0"/>
    <n v="144.01260560699998"/>
    <n v="19.980370328899699"/>
    <n v="4108.8454864579999"/>
    <n v="1.3123321759532189"/>
    <n v="152.18448445499928"/>
    <n v="-3479.4698162879999"/>
    <n v="-11112.273942343976"/>
    <n v="21.114140285895687"/>
    <n v="-1553.8752427743996"/>
    <n v="-0.74483260144202679"/>
    <n v="2.6201025607462256"/>
    <n v="0.19347390726383518"/>
    <n v="4.8606499390005595E-2"/>
    <n v="-3.7168404387577354"/>
    <n v="737.31045837299928"/>
    <n v="-6876.5183010729761"/>
    <n v="0.23549102573429032"/>
    <n v="-2.3181530103579004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094.9283837775"/>
    <n v="7251.6616666666669"/>
    <n v="3561.1343769650002"/>
    <n v="1.1373976561510841"/>
    <n v="21128.621263538003"/>
    <n v="41952.915905579997"/>
    <n v="13.856870329654093"/>
    <n v="4.0943762824742214E-2"/>
    <n v="0.18591923204755356"/>
    <n v="6.2065289297391191E-2"/>
    <n v="2437.9879743860001"/>
    <n v="0.77867373546135044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4180345749776"/>
    <n v="142.31884875599999"/>
    <n v="4.5455494757025268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51450650532312"/>
    <n v="21557.018341964002"/>
    <n v="44381.575511882998"/>
    <n v="14.676504367919971"/>
    <n v="3101.5880139799992"/>
    <n v="0.99062224673860388"/>
    <n v="41678.058020304001"/>
    <n v="13.779818624011369"/>
    <n v="2850.1867379299993"/>
    <n v="0.91032670271693783"/>
    <n v="37298.717024691003"/>
    <n v="12.337639578365422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8.029554402166611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2252591097852624E-2"/>
    <n v="-333.75995523376588"/>
    <n v="-0.81963403826587911"/>
    <n v="540.23946008000075"/>
    <n v="0.17254813511951872"/>
    <n v="332.22961023699997"/>
    <n v="3094.4641640690002"/>
    <n v="8009.0863417629989"/>
    <n v="-0.55440720460756521"/>
    <n v="-0.10687234903353593"/>
    <n v="-6.4623147402826264E-2"/>
    <n v="45.814273404969022"/>
    <n v="0.1061114633673555"/>
    <n v="0.98834694641746057"/>
    <n v="2.6659970735223282"/>
    <n v="223.802180569"/>
    <n v="30.86219281268178"/>
    <n v="788.64383952377477"/>
    <n v="0"/>
    <n v="0"/>
    <n v="108.42742966799997"/>
    <n v="14.952080592287235"/>
    <n v="3604.5258031719995"/>
    <n v="1.1512565284205869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58872269502867E-2"/>
    <n v="-3.4856311117882077"/>
    <n v="208.00984984300081"/>
    <n v="-6058.4049524530019"/>
    <n v="6.6436671752163223E-2"/>
    <n v="-2.0434520661422595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094.9283837775"/>
    <n v="7272.6780952380959"/>
    <n v="4099.5153899520001"/>
    <n v="1.3093522182278856"/>
    <n v="25228.136653490004"/>
    <n v="42420.270778136"/>
    <n v="13.926352150248722"/>
    <n v="5.425944354841139E-2"/>
    <n v="0.12867131568597645"/>
    <n v="6.1468024194655468E-2"/>
    <n v="2962.2021577759997"/>
    <n v="0.9461035261947990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481238652473"/>
    <n v="102.59623418500001"/>
    <n v="3.276841139350626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832179021555649"/>
    <n v="25261.613585342002"/>
    <n v="44814.533296123991"/>
    <n v="14.742919634854943"/>
    <n v="3351.3208788680004"/>
    <n v="1.0703849136643007"/>
    <n v="42182.589218763991"/>
    <n v="13.878426482085567"/>
    <n v="3230.3642942770002"/>
    <n v="1.0317523541350266"/>
    <n v="37791.815184501007"/>
    <n v="12.435001716452728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632559529273795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613431607232062"/>
    <n v="-331.94831425324514"/>
    <n v="-0.81656748460622064"/>
    <n v="515.8767311649998"/>
    <n v="0.16476687560159442"/>
    <n v="602.87989839299996"/>
    <n v="3697.3440624620002"/>
    <n v="8005.1386765069992"/>
    <n v="-6.505415199437814E-3"/>
    <n v="-9.1913670558207872E-2"/>
    <n v="-5.8099252070342944E-2"/>
    <n v="82.896546567590477"/>
    <n v="0.192554986918861"/>
    <n v="1.1809019333363215"/>
    <n v="2.6514060576605321"/>
    <n v="391.12075466499999"/>
    <n v="53.779467418074326"/>
    <n v="785.53494917084299"/>
    <n v="0"/>
    <n v="0"/>
    <n v="211.75914372799997"/>
    <n v="29.117079149516147"/>
    <n v="4307.4751417710004"/>
    <n v="1.3757728890744259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420670846540381E-2"/>
    <n v="-3.467973542266753"/>
    <n v="-87.00316722800018"/>
    <n v="-6008.6271602320012"/>
    <n v="-2.7788111317266585E-2"/>
    <n v="-2.0245487766339161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094.9283837775"/>
    <n v="7273.1797727272724"/>
    <n v="3355.974272125"/>
    <n v="1.0718711700150569"/>
    <n v="28584.110925615005"/>
    <n v="42755.985863119997"/>
    <n v="13.967230900908724"/>
    <n v="6.0635607351396281E-2"/>
    <n v="0.1111543957595873"/>
    <n v="5.9997437459831549E-2"/>
    <n v="2441.3896434349999"/>
    <n v="0.77976020117529843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51832225822728E-2"/>
    <n v="48.431582518999996"/>
    <n v="1.5468657626940149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77656605287669"/>
    <n v="28761.281179673002"/>
    <n v="45136.734030143998"/>
    <n v="14.776028634233519"/>
    <n v="3310.0002473730001"/>
    <n v="1.0571874365578202"/>
    <n v="42463.071259370998"/>
    <n v="13.901460850333208"/>
    <n v="3027.6640860420002"/>
    <n v="0.96701153917473481"/>
    <n v="38050.740019097"/>
    <n v="12.456879410305481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9.0175897383085429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894490513710091E-2"/>
    <n v="-328.83659080227943"/>
    <n v="-0.80879773332479399"/>
    <n v="138.64283912499985"/>
    <n v="4.4281406869375338E-2"/>
    <n v="349.55572974400008"/>
    <n v="4046.8997922060003"/>
    <n v="7734.1455853179996"/>
    <n v="-0.4366990670960581"/>
    <n v="-0.13751264783373396"/>
    <n v="-0.10123416162081356"/>
    <n v="48.060922549275148"/>
    <n v="0.11164528647858857"/>
    <n v="1.2925472198149102"/>
    <n v="2.5512214677677285"/>
    <n v="201.623474558"/>
    <n v="27.721502954463052"/>
    <n v="755.67143774820249"/>
    <n v="53.157420969999997"/>
    <n v="7.3086906457788832"/>
    <n v="147.93225518600008"/>
    <n v="20.339419594812096"/>
    <n v="3849.2233240750002"/>
    <n v="1.229410947007355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753977699229865"/>
    <n v="-3.3600192010925229"/>
    <n v="-210.91289061900022"/>
    <n v="-5702.5625120680006"/>
    <n v="-6.7363879609213223E-2"/>
    <n v="-1.9154377610647959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094.9283837775"/>
    <n v="7276.0522500000006"/>
    <n v="3923.9104503730005"/>
    <n v="1.2532654139843651"/>
    <n v="32508.021375988006"/>
    <n v="42837.768695979998"/>
    <n v="13.908951774372941"/>
    <n v="5.5725683712493534E-2"/>
    <n v="2.1285818952817115E-2"/>
    <n v="4.8333447793650341E-2"/>
    <n v="2996.6677465180005"/>
    <n v="0.95711155782275148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5488797893738E-2"/>
    <n v="176.13556780499999"/>
    <n v="5.6256282627836447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63606789480555"/>
    <n v="32914.049197536006"/>
    <n v="45610.022367291996"/>
    <n v="14.846366096982342"/>
    <n v="3915.3432003879998"/>
    <n v="1.2505291032976269"/>
    <n v="42846.438475480994"/>
    <n v="13.946318440193032"/>
    <n v="3003.2935539629998"/>
    <n v="0.95922778738903736"/>
    <n v="38153.122977266998"/>
    <n v="12.425855484787565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130131590858965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3095264963690565E-2"/>
    <n v="-383.61138317888106"/>
    <n v="-0.9374143226093995"/>
    <n v="683.19207893500072"/>
    <n v="0.21820605094489903"/>
    <n v="264.53358075799997"/>
    <n v="4311.4333729640002"/>
    <n v="7345.6488628299994"/>
    <n v="-0.59491377437909065"/>
    <n v="-0.19339441245673272"/>
    <n v="-0.13330271697874618"/>
    <n v="36.356745618202503"/>
    <n v="8.4489896442444687E-2"/>
    <n v="1.3770371162573549"/>
    <n v="2.4127936440614328"/>
    <n v="172.231686454"/>
    <n v="23.671034860146861"/>
    <n v="726.01906992001295"/>
    <n v="0"/>
    <n v="0"/>
    <n v="92.301894303999973"/>
    <n v="12.685710758055643"/>
    <n v="4417.3015986209994"/>
    <n v="1.4108505753905001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758516140613527"/>
    <n v="-3.3502079666708329"/>
    <n v="418.65849817700075"/>
    <n v="-5424.5870359279998"/>
    <n v="0.13371615450245436"/>
    <n v="-1.8297450112653684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094.9283837775"/>
    <n v="7384.8424999999988"/>
    <n v="3443.18931028"/>
    <n v="1.0997269512010415"/>
    <n v="35951.210686268008"/>
    <n v="43214.131451597998"/>
    <n v="13.961790119855891"/>
    <n v="6.1793852709435049E-2"/>
    <n v="0.12272058719651957"/>
    <n v="5.4473320993257079E-2"/>
    <n v="2436.6934816090002"/>
    <n v="0.77826028488785115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726744680099"/>
    <n v="101.52181302599999"/>
    <n v="3.2425249923422321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64587030930387"/>
    <n v="36691.410209965004"/>
    <n v="45889.529166624998"/>
    <n v="14.858801057654512"/>
    <n v="3528.0669698510001"/>
    <n v="1.1268361924810408"/>
    <n v="43130.479172681"/>
    <n v="13.965777322298994"/>
    <n v="3041.7202679510001"/>
    <n v="0.97150097053715223"/>
    <n v="38347.440629046003"/>
    <n v="12.425370168643147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533522194388863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73175189199739"/>
    <n v="-368.80430546293633"/>
    <n v="-0.8970109377986184"/>
    <n v="152.17499975099963"/>
    <n v="4.8603470051891244E-2"/>
    <n v="658.11103892300002"/>
    <n v="4969.544411887"/>
    <n v="6947.415507484"/>
    <n v="-0.37699197109062255"/>
    <n v="-0.22369078275874921"/>
    <n v="-0.20453201897785378"/>
    <n v="89.116462392122799"/>
    <n v="0.21019536864433572"/>
    <n v="1.5872324849016906"/>
    <n v="2.2623964293419276"/>
    <n v="508.53951208899997"/>
    <n v="68.862607711538871"/>
    <n v="684.50449492342761"/>
    <n v="56.376991611999998"/>
    <n v="7.634149490933626"/>
    <n v="149.57152683400005"/>
    <n v="20.25385468058392"/>
    <n v="4435.4720513520006"/>
    <n v="1.4166540717373746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692712053633315"/>
    <n v="-3.1594073671405467"/>
    <n v="-505.93603917200039"/>
    <n v="-4839.7746788759996"/>
    <n v="-0.16159189859244447"/>
    <n v="-1.6190002134846988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094.9283837775"/>
    <n v="7442.1713636363629"/>
    <n v="3941.2542054360001"/>
    <n v="1.2588048697502345"/>
    <n v="39892.46489170401"/>
    <n v="43379.450107076009"/>
    <n v="13.931645701891169"/>
    <n v="5.9986726872555796E-2"/>
    <n v="4.3782170879436366E-2"/>
    <n v="5.2943647001154615E-2"/>
    <n v="2988.6901219080005"/>
    <n v="0.95456356873484716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6209085444872E-2"/>
    <n v="200.22263622700001"/>
    <n v="6.3949498403109303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81504635127824"/>
    <n v="40505.377531307007"/>
    <n v="46068.319555201"/>
    <n v="14.836051443235956"/>
    <n v="3580.1635301589999"/>
    <n v="1.1434754145140922"/>
    <n v="43346.922671589004"/>
    <n v="13.961016894068962"/>
    <n v="2920.9666830830001"/>
    <n v="0.93293324748544382"/>
    <n v="38331.609427564006"/>
    <n v="12.355801257023952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1054216702864839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654406237451909E-2"/>
    <n v="-371.30094295350278"/>
    <n v="-0.90440574134478946"/>
    <n v="786.48373116999994"/>
    <n v="0.25119657326610034"/>
    <n v="928.61867993700002"/>
    <n v="5898.1630918239998"/>
    <n v="7145.4887387320005"/>
    <n v="0.27113060741594119"/>
    <n v="-0.17300554041454019"/>
    <n v="-0.20428116209468516"/>
    <n v="124.77792227069362"/>
    <n v="0.29659333184686454"/>
    <n v="1.8838258167485549"/>
    <n v="2.3096115545767741"/>
    <n v="764.22461120000003"/>
    <n v="102.68839211820941"/>
    <n v="721.45950465851183"/>
    <n v="39.385495341000002"/>
    <n v="5.2922048440652443"/>
    <n v="164.394068737"/>
    <n v="22.089530152484212"/>
    <n v="4742.5860012789999"/>
    <n v="1.514743795359647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593892560941262"/>
    <n v="-3.2140172959215638"/>
    <n v="-142.13494876700008"/>
    <n v="-4819.0449428320007"/>
    <n v="-4.5396758580764217E-2"/>
    <n v="-1.6088016588765515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094.9283837775"/>
    <n v="7335.2122222222233"/>
    <n v="4049.554153309"/>
    <n v="1.2933950013860465"/>
    <n v="43942.01904501301"/>
    <n v="43942.01904501301"/>
    <n v="14.034727190199288"/>
    <n v="6.8580602035307026E-2"/>
    <n v="0.16133390398587744"/>
    <n v="6.8580602035307026E-2"/>
    <n v="2495.1373023790002"/>
    <n v="0.79692677082286512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50333162415126E-2"/>
    <n v="340.06244851899999"/>
    <n v="0.10861320886749304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552174104285239"/>
    <n v="48505.63365253801"/>
    <n v="48505.63365253801"/>
    <n v="15.492308962948771"/>
    <n v="7401.6400526560001"/>
    <n v="2.3640242564336291"/>
    <n v="45451.578594148006"/>
    <n v="14.516868359629106"/>
    <n v="7046.4681989370001"/>
    <n v="2.2505852251620504"/>
    <n v="40234.275998915"/>
    <n v="12.850503905191864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43903127157859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618224090424772"/>
    <n v="-623.10766912893587"/>
    <n v="-1.4575817727494866"/>
    <n v="-3595.5301142030003"/>
    <n v="-1.1483833777708987"/>
    <n v="2366.272428498"/>
    <n v="8264.4355203220002"/>
    <n v="8264.4355203220002"/>
    <n v="0.89707670516016469"/>
    <n v="-1.371663705089099E-2"/>
    <n v="-1.371663705089099E-2"/>
    <n v="322.59086128814567"/>
    <n v="0.75576836734880959"/>
    <n v="2.6395941840973647"/>
    <n v="2.6395941840973647"/>
    <n v="2063.108162004"/>
    <n v="281.26086873857014"/>
    <n v="911.27727487611219"/>
    <n v="109.6873103775232"/>
    <n v="14.953529230582115"/>
    <n v="303.164266494"/>
    <n v="41.32999254957555"/>
    <n v="10366.528549729001"/>
    <n v="3.3109857777773333"/>
    <n v="-6316.9743964200006"/>
    <n v="-12828.050127847"/>
    <n v="-12828.050127847"/>
    <n v="-861.18495348812905"/>
    <n v="-1754.8422311483414"/>
    <n v="0.90082380331485945"/>
    <n v="0.49268270950274329"/>
    <n v="0.49268270950274329"/>
    <n v="-2.017590776391287"/>
    <n v="-4.0971759568468515"/>
    <n v="-5961.8025427010007"/>
    <n v="-7610.7475326140002"/>
    <n v="-1.9041517451197083"/>
    <n v="-2.430811502409612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4302.3766856193"/>
    <n v="7282.9988636363632"/>
    <n v="3804.6259361790007"/>
    <n v="1.1380792364981904"/>
    <n v="3804.6259361790007"/>
    <n v="44586.405242480003"/>
    <n v="14.163451291171834"/>
    <n v="0.20390421320682117"/>
    <n v="0.20390421320682117"/>
    <n v="7.8861594513988775E-2"/>
    <n v="2901.7446344780005"/>
    <n v="0.86800000144983258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030030070149524E-2"/>
    <n v="81.670096715"/>
    <n v="2.4430007804522202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3823523073850303"/>
    <n v="2802.2402985750005"/>
    <n v="48207.723730370009"/>
    <n v="15.340381166535657"/>
    <n v="2674.2446948890006"/>
    <n v="0.79994785601057283"/>
    <n v="45153.066526154005"/>
    <n v="14.367341633528552"/>
    <n v="2611.5491690860008"/>
    <n v="0.78119371898511003"/>
    <n v="40167.230234141003"/>
    <n v="12.776175962524025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754137025462844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29984400575968739"/>
    <n v="-493.62378270876468"/>
    <n v="-1.1769298753638275"/>
    <n v="1065.0811634070003"/>
    <n v="0.31859814278515031"/>
    <n v="37.041825209999999"/>
    <n v="37.041825209999999"/>
    <n v="7941.1911932939993"/>
    <n v="-0.89718776317128424"/>
    <n v="-0.89718776317128424"/>
    <n v="-7.5449712795768842E-2"/>
    <n v="5.0860676904603013"/>
    <n v="1.1080335586376772E-2"/>
    <n v="1.1080335586376772E-2"/>
    <n v="2.5356020226305866"/>
    <m/>
    <n v="0"/>
    <n v="867.89565939354156"/>
    <n v="0"/>
    <n v="0"/>
    <n v="37.041825209999999"/>
    <n v="5.0860676904603013"/>
    <n v="2839.2821237850003"/>
    <n v="0.8493155663248797"/>
    <n v="965.34381239400034"/>
    <n v="965.34381239400034"/>
    <n v="-11562.509681184001"/>
    <n v="132.54757147003167"/>
    <n v="-1581.5799322938935"/>
    <n v="-4.2157049819851657"/>
    <n v="-4.2157049819851657"/>
    <n v="0.2525605679687164"/>
    <n v="0.28876367017331067"/>
    <n v="-3.7125318979944146"/>
    <n v="1028.0393381970002"/>
    <n v="-6576.673389171001"/>
    <n v="0.30751780719877347"/>
    <n v="-2.1213662269898896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4302.3766856193"/>
    <n v="7285.0480952380958"/>
    <n v="3209.7257207530001"/>
    <n v="0.96012650360887286"/>
    <n v="7014.3516569320009"/>
    <n v="45070.762042180999"/>
    <n v="14.253116898106146"/>
    <n v="0.19178016453667168"/>
    <n v="0.17772155393701228"/>
    <n v="9.8386785163536716E-2"/>
    <n v="2370.0602069780002"/>
    <n v="0.70895703179724157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0941710243198503E-2"/>
    <n v="101.03874689"/>
    <n v="3.0223759666841276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371003802458228"/>
    <n v="6603.5938950380005"/>
    <n v="48789.910861641001"/>
    <n v="15.449305689123992"/>
    <n v="3609.0172354829997"/>
    <n v="1.0795667297564413"/>
    <n v="45692.844126209995"/>
    <n v="14.466617928281565"/>
    <n v="3084.7871149109997"/>
    <n v="0.9227535698353585"/>
    <n v="40223.281546456994"/>
    <n v="12.731575695543953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681315992108258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697387663694991"/>
    <n v="-507.11785938269333"/>
    <n v="-1.1961887910178499"/>
    <n v="-67.397755137999411"/>
    <n v="-2.0160716715867329E-2"/>
    <n v="184.82380115500004"/>
    <n v="221.86562636500003"/>
    <n v="7590.5398619670004"/>
    <n v="-0.65484148573190204"/>
    <n v="-0.75231612467561426"/>
    <n v="-9.8552988178392309E-2"/>
    <n v="25.370292514034457"/>
    <n v="5.5286415546129924E-2"/>
    <n v="6.6366751132506688E-2"/>
    <n v="2.4198619909435504"/>
    <n v="127.433595526"/>
    <n v="17.492485136686682"/>
    <n v="818.99254791984254"/>
    <n v="64.556258688"/>
    <n v="8.8614732317549816"/>
    <n v="57.390205629000036"/>
    <n v="7.8778073773477759"/>
    <n v="3986.1773976179998"/>
    <n v="1.1923867957919527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226029218307984"/>
    <n v="-3.6160507819614005"/>
    <n v="-252.22155629299948"/>
    <n v="-5840.1261016740009"/>
    <n v="-7.5447132261997257E-2"/>
    <n v="-1.881008549223788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4302.3766856193"/>
    <n v="7317.5874999999996"/>
    <n v="3438.5597139500001"/>
    <n v="1.0285777050229139"/>
    <n v="10452.911370882"/>
    <n v="44845.630694220999"/>
    <n v="14.111541167293389"/>
    <n v="9.462595955147135E-2"/>
    <n v="-6.1449326418541395E-2"/>
    <n v="8.239411996868351E-2"/>
    <n v="2680.8021049700001"/>
    <n v="0.80190937663929573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7900092292165435E-2"/>
    <n v="75.467958120999995"/>
    <n v="2.2574759673925589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370341195959065"/>
    <n v="11741.935487316001"/>
    <n v="49594.355024306999"/>
    <n v="15.602127853584138"/>
    <n v="4934.9658988189994"/>
    <n v="1.4761982692871736"/>
    <n v="46635.254238163994"/>
    <n v="14.667626015640558"/>
    <n v="4011.0284479069996"/>
    <n v="1.199820500133328"/>
    <n v="41026.425096944004"/>
    <n v="12.906823579959941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637776915384554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0845641457299251"/>
    <n v="-646.12271358222824"/>
    <n v="-1.4905866862907495"/>
    <n v="-775.84442741599946"/>
    <n v="-0.23207864541914697"/>
    <n v="468.93283557800009"/>
    <n v="690.79846194300012"/>
    <n v="7443.5804879140005"/>
    <n v="-0.23861216582208078"/>
    <n v="-0.54301798360239861"/>
    <n v="-9.8138878342289293E-2"/>
    <n v="64.082983029311251"/>
    <n v="0.14027206154713892"/>
    <n v="0.20663881267964562"/>
    <n v="2.3634230380995311"/>
    <n v="387.29189993599999"/>
    <n v="52.926172722362395"/>
    <n v="800.43907243447779"/>
    <n v="0"/>
    <n v="0"/>
    <n v="81.640935642000102"/>
    <n v="11.156810306948854"/>
    <n v="5607.2744278559994"/>
    <n v="1.6773061811430452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4872847612013151"/>
    <n v="-3.8540097243902807"/>
    <n v="-1244.7772629939998"/>
    <n v="-6583.47567678"/>
    <n v="-0.37235070696628597"/>
    <n v="-2.0932072887096642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4302.3766856193"/>
    <n v="7405.4070454545454"/>
    <n v="5280.9667066130005"/>
    <n v="1.5796976255359574"/>
    <n v="15733.878077495001"/>
    <n v="46369.440206847998"/>
    <n v="14.491233026724872"/>
    <n v="0.18242430552480382"/>
    <n v="0.40557512873460011"/>
    <n v="0.12457329176430854"/>
    <n v="4063.1005273820001"/>
    <n v="1.2153968415255909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353842530167097E-2"/>
    <n v="321.20730355900002"/>
    <n v="9.6082865680929941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435947676183059"/>
    <n v="15899.302351802002"/>
    <n v="49865.388385138998"/>
    <n v="15.604458981540319"/>
    <n v="3906.993386860001"/>
    <n v="1.1687004518469726"/>
    <n v="46848.506927070994"/>
    <n v="14.65657541977162"/>
    <n v="3433.9365634220012"/>
    <n v="1.0271947802068135"/>
    <n v="41212.001961335991"/>
    <n v="12.896518418600053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150567164015901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610285791765165"/>
    <n v="-476.3871400632197"/>
    <n v="-1.1132259548154455"/>
    <n v="1596.6566655649997"/>
    <n v="0.47760852955781075"/>
    <n v="612.93987192400004"/>
    <n v="1303.7383338670002"/>
    <n v="7169.610256986999"/>
    <n v="-0.30890417196321718"/>
    <n v="-0.4564503791403105"/>
    <n v="-0.15700656939628643"/>
    <n v="82.769234447446593"/>
    <n v="0.18334894235598381"/>
    <n v="0.38998775503562944"/>
    <n v="2.2635000324142913"/>
    <n v="482.82380087799999"/>
    <n v="65.19881998577759"/>
    <n v="754.93903777228297"/>
    <n v="0"/>
    <n v="0"/>
    <n v="130.11607104600006"/>
    <n v="17.570414461669003"/>
    <n v="4770.3067364100007"/>
    <n v="1.4269437099742897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275391556166781"/>
    <n v="-3.376725987229737"/>
    <n v="983.71679364099964"/>
    <n v="-5029.0534695429997"/>
    <n v="0.29425958720182682"/>
    <n v="-1.6166689860581718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4302.3766856193"/>
    <n v="7506.9517499999993"/>
    <n v="5401.0182893279998"/>
    <n v="1.6156087021801708"/>
    <n v="21134.896366822999"/>
    <n v="47509.428525263"/>
    <n v="14.745903053561818"/>
    <n v="0.20306885687654064"/>
    <n v="0.26753820700555608"/>
    <n v="0.1477196403763037"/>
    <n v="4387.6120386270004"/>
    <n v="1.3124680961371527"/>
    <n v="16403.319512435002"/>
    <n v="35162.087940445999"/>
    <n v="0.31998425263438302"/>
    <n v="0.26268507302983735"/>
    <n v="0.16586284323888312"/>
    <n v="3039.3518615140001"/>
    <n v="21275.856110476001"/>
    <n v="0.17294009988602443"/>
    <n v="0.31532367180102905"/>
    <n v="1313.3569301990001"/>
    <n v="13878.480948034998"/>
    <n v="0.15680993779301078"/>
    <n v="0.26270212708837182"/>
    <n v="980.43224453300002"/>
    <n v="686.39956514099993"/>
    <n v="0.23766863101257241"/>
    <n v="0.18378289413807347"/>
    <n v="259.91833523700001"/>
    <n v="7.774947274198693E-2"/>
    <n v="155.119391001"/>
    <n v="4.640092378011286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73108718896548"/>
    <n v="20155.335056865002"/>
    <n v="50376.246560373991"/>
    <n v="15.681389100815052"/>
    <n v="4018.3227295779993"/>
    <n v="1.2020024414474513"/>
    <n v="47331.666838903999"/>
    <n v="14.729475312035724"/>
    <n v="3325.7830593289991"/>
    <n v="0.9948427804498059"/>
    <n v="41587.748176837995"/>
    <n v="12.949143176210798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715966099764524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4249998328362297"/>
    <n v="-395.43377333538172"/>
    <n v="-0.93548604725323059"/>
    <n v="1837.5252545140004"/>
    <n v="0.54965964428126823"/>
    <n v="508.08560216199999"/>
    <n v="1811.8239360290002"/>
    <n v="7314.0249025189996"/>
    <n v="0.39710249856143442"/>
    <n v="-0.34407310432219151"/>
    <n v="-0.13160332338033187"/>
    <n v="67.682012497549351"/>
    <n v="0.15198384384799271"/>
    <n v="0.54197159888362212"/>
    <n v="2.2993302999308818"/>
    <n v="358.75900957499999"/>
    <n v="47.790237838547455"/>
    <n v="772.25378229705859"/>
    <n v="0"/>
    <n v="0"/>
    <n v="149.32659258699999"/>
    <n v="19.891774659001907"/>
    <n v="4764.1183072249996"/>
    <n v="1.4250925627445405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9051613943563026"/>
    <n v="-3.2348163471841125"/>
    <n v="1329.4396523520004"/>
    <n v="-4436.9242755639989"/>
    <n v="0.39767580043327549"/>
    <n v="-1.4544842113591869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4302.3766856193"/>
    <n v="7529.649736842106"/>
    <n v="4396.6861224169998"/>
    <n v="1.3151824303515736"/>
    <n v="25531.582489239998"/>
    <n v="48344.980270715001"/>
    <n v="14.923687827762308"/>
    <n v="0.20838847792213744"/>
    <n v="0.23463078249917202"/>
    <n v="0.15236281500721183"/>
    <n v="2655.7522247849997"/>
    <n v="0.79441619623377402"/>
    <n v="19059.071737220002"/>
    <n v="35379.852190845006"/>
    <n v="8.9321298007568162E-2"/>
    <n v="0.23529094830784181"/>
    <n v="0.1627041644915006"/>
    <n v="1522.137188813"/>
    <n v="21444.200373231004"/>
    <n v="0.17112214125799396"/>
    <n v="0.12435008302576089"/>
    <n v="1168.641064402"/>
    <n v="13947.491860258"/>
    <n v="0.14959955862885899"/>
    <n v="6.2758293855665892E-2"/>
    <n v="946.01547004100007"/>
    <n v="647.23786840499997"/>
    <n v="0.12130497320420042"/>
    <n v="5.0564060375549502E-2"/>
    <n v="252.199702183"/>
    <n v="7.5440595033570659E-2"/>
    <n v="115.63039133999999"/>
    <n v="3.4588563948122861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803033165754744"/>
    <n v="24101.117096276001"/>
    <n v="51049.732406850002"/>
    <n v="15.816547352337292"/>
    <n v="3689.903493622"/>
    <n v="1.1037622676227681"/>
    <n v="47919.982318545997"/>
    <n v="14.842615332919889"/>
    <n v="3366.3982402880001"/>
    <n v="1.0069920153316136"/>
    <n v="42103.959679195999"/>
    <n v="13.045808488825475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6770252291154657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48791137760991"/>
    <n v="-375.38058800549766"/>
    <n v="-0.8928595245749843"/>
    <n v="774.40933633999975"/>
    <n v="0.23164936606725373"/>
    <n v="529.7948712650001"/>
    <n v="2341.6188072940004"/>
    <n v="7511.590163547"/>
    <n v="0.59466481896982204"/>
    <n v="-0.24328779292924874"/>
    <n v="-6.2116470841602545E-2"/>
    <n v="70.361157528051649"/>
    <n v="0.15847774596087411"/>
    <n v="0.70044934484449617"/>
    <n v="2.3516965825244003"/>
    <n v="350.46353503799997"/>
    <n v="46.544467177962311"/>
    <n v="787.93605666233918"/>
    <n v="51.064873304999999"/>
    <n v="6.7818391412209742"/>
    <n v="179.33133622700012"/>
    <n v="23.816690350089338"/>
    <n v="4475.5769106759999"/>
    <n v="1.3387810625363485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598632184774985E-2"/>
    <n v="-3.2445561070993847"/>
    <n v="244.61446507499971"/>
    <n v="-4400.3196603320011"/>
    <n v="7.3171620106379662E-2"/>
    <n v="-1.4477492630049704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4302.3766856193"/>
    <n v="7554.6780434782604"/>
    <n v="4743.8921766940002"/>
    <n v="1.4190423124497242"/>
    <n v="30275.474665933998"/>
    <n v="48989.357057457004"/>
    <n v="15.033377921984146"/>
    <n v="0.20006780848579853"/>
    <n v="0.15718364866281065"/>
    <n v="0.15485724534098932"/>
    <n v="3659.0060726440001"/>
    <n v="1.0945199100648213"/>
    <n v="22718.077809864"/>
    <n v="36076.656105713002"/>
    <n v="0.23523172212903787"/>
    <n v="0.23528140887115367"/>
    <n v="0.18048381649462963"/>
    <n v="2227.634626991"/>
    <n v="21816.626734704001"/>
    <n v="0.18935833654942957"/>
    <n v="0.20074638971544956"/>
    <n v="1393.8137800120001"/>
    <n v="14225.493627598999"/>
    <n v="0.16197169248468724"/>
    <n v="0.24914749454572283"/>
    <n v="929.73680750200003"/>
    <n v="781.40767091300006"/>
    <n v="0.15418610543482814"/>
    <n v="0.21790375352198588"/>
    <n v="290.76578039700001"/>
    <n v="8.6976881014052293E-2"/>
    <n v="227.37097505699998"/>
    <n v="6.801356822862839E-2"/>
    <n v="566.74934859599989"/>
    <n v="75.01965607723794"/>
    <n v="385.85794076000002"/>
    <n v="51.075365295427815"/>
    <n v="292.26588561092353"/>
    <n v="0"/>
    <n v="0"/>
    <n v="112.0703124360611"/>
    <n v="180.89140783599987"/>
    <n v="385.85794076000002"/>
    <n v="4471.1842986419997"/>
    <n v="1.33746709878965"/>
    <n v="28572.301394918002"/>
    <n v="51816.321462114007"/>
    <n v="15.970796548971379"/>
    <n v="3963.3966798389997"/>
    <n v="1.1855723908197668"/>
    <n v="48532.058119517002"/>
    <n v="14.957802810075357"/>
    <n v="3723.3115539649998"/>
    <n v="1.1137556337107446"/>
    <n v="42596.906938884"/>
    <n v="13.127811768401195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79663473714631"/>
    <n v="7.18167571090223E-2"/>
    <n v="5935.151180633"/>
    <n v="870.29515321299994"/>
    <n v="749.37541258599992"/>
    <n v="180.28372089200002"/>
    <n v="272.70787805200052"/>
    <n v="1703.1732710160018"/>
    <n v="-2826.9644046569988"/>
    <n v="-0.30946070891093225"/>
    <n v="-51.876026469380911"/>
    <n v="0.1807244959222829"/>
    <n v="36.097882197299135"/>
    <n v="8.157521366007435E-2"/>
    <n v="-393.58459314631392"/>
    <n v="-0.93741862698723011"/>
    <n v="512.79300392600055"/>
    <n v="0.15339197076909666"/>
    <n v="715.2767886649998"/>
    <n v="3056.8955959590003"/>
    <n v="7623.9870538190007"/>
    <n v="0.18643330217444332"/>
    <n v="-0.17321852001962079"/>
    <n v="-4.7613369123333138E-2"/>
    <n v="94.679982991793807"/>
    <n v="0.2139610240754142"/>
    <n v="0.91441036891991045"/>
    <n v="2.3731026196809535"/>
    <n v="526.55764160399997"/>
    <n v="69.699547561601563"/>
    <n v="803.8561368058663"/>
    <n v="0"/>
    <n v="0"/>
    <n v="188.71914706099983"/>
    <n v="24.980435430192252"/>
    <n v="5186.4610873069996"/>
    <n v="1.5514281228650644"/>
    <n v="-442.56891061299928"/>
    <n v="-1353.7223249429985"/>
    <n v="-10450.951458476"/>
    <n v="-58.582100794494679"/>
    <n v="-1424.5192379634011"/>
    <n v="1.1281469454637234"/>
    <n v="-0.63715162774999001"/>
    <n v="4.9570415658439781E-3"/>
    <n v="-0.13238581041533987"/>
    <n v="-3.3105212466681841"/>
    <n v="-202.48378473899928"/>
    <n v="-4515.800277843"/>
    <n v="-6.0569053306317559E-2"/>
    <n v="-1.4805302049940212"/>
    <n v="1823.7278207029999"/>
    <n v="133.5"/>
    <n v="3553.477285913109"/>
    <n v="37316.520700365683"/>
    <n v="0.11283597568952852"/>
    <n v="2740.8285188344571"/>
    <n v="27473.096086473241"/>
    <n v="0.1374329451469456"/>
    <n v="3349.2017218292135"/>
    <n v="39542.586926660515"/>
    <n v="0.11546886343838492"/>
    <n v="535.78785667790248"/>
    <n v="5826.5274735544754"/>
    <n v="-8.1968614416731866E-2"/>
  </r>
  <r>
    <x v="259"/>
    <x v="7"/>
    <x v="7"/>
    <x v="21"/>
    <n v="334302.3766856193"/>
    <n v="7598.85619047619"/>
    <n v="3528.8449399179999"/>
    <n v="1.0555847597926458"/>
    <n v="33804.319605851997"/>
    <n v="49162.227725249999"/>
    <n v="15.017091511761734"/>
    <n v="0.18262623923555443"/>
    <n v="5.1511320938565586E-2"/>
    <n v="0.14983263121657608"/>
    <n v="2638.0364757970001"/>
    <n v="0.78911687734659186"/>
    <n v="25356.114285661002"/>
    <n v="36273.302938075001"/>
    <n v="8.0547090420733047E-2"/>
    <n v="0.21714779514255245"/>
    <n v="0.17650225493794114"/>
    <m/>
    <n v="20556.634417599002"/>
    <n v="0.10878374729963292"/>
    <n v="-1"/>
    <m/>
    <n v="13060.688599341001"/>
    <n v="6.3306205603796739E-2"/>
    <n v="-1"/>
    <m/>
    <m/>
    <n v="-1"/>
    <n v="-1"/>
    <n v="261.51274837"/>
    <n v="7.8226410162775692E-2"/>
    <n v="143.03299199900002"/>
    <n v="4.2785514544369942E-2"/>
    <n v="486.262723752"/>
    <n v="63.991568146985536"/>
    <n v="310.610078552"/>
    <n v="40.875899051924982"/>
    <n v="333.14178466284852"/>
    <n v="0"/>
    <n v="0"/>
    <n v="112.0703124360611"/>
    <n v="175.65264519999999"/>
    <n v="310.610078552"/>
    <n v="4343.7812523980001"/>
    <n v="1.2993569759998829"/>
    <n v="32916.082647316005"/>
    <n v="52660.435120181006"/>
    <n v="16.152387864442495"/>
    <n v="4135.3013533800004"/>
    <n v="1.2369943026964692"/>
    <n v="49357.359225523993"/>
    <n v="15.137609676214005"/>
    <n v="3455.5070151360005"/>
    <n v="1.0336471578201156"/>
    <n v="43024.749867978004"/>
    <n v="13.194447387046576"/>
    <n v="0.2411982382082094"/>
    <n v="0.14445814988865657"/>
    <n v="0.16668687382238145"/>
    <n v="1707.8355563340003"/>
    <n v="13410.609495988001"/>
    <n v="21444.337853172005"/>
    <n v="6.7149871174196685E-2"/>
    <n v="7.3719779138633701E-2"/>
    <n v="7.7454006564692923E-2"/>
    <n v="1216.7839905369999"/>
    <n v="491.05156579700042"/>
    <n v="557.12618810099991"/>
    <n v="679.79433824400007"/>
    <n v="89.460087308403203"/>
    <n v="0.20334714487635375"/>
    <n v="6332.609357546"/>
    <n v="469.895018376"/>
    <n v="743.09611486999995"/>
    <n v="186.03403647300001"/>
    <n v="-814.9363124800002"/>
    <n v="888.23695853600157"/>
    <n v="-3498.2073949309984"/>
    <n v="4.671358278651943"/>
    <n v="-6.0134655123609004"/>
    <n v="0.46937313378417955"/>
    <n v="-107.24460261550645"/>
    <n v="-0.24377221620723713"/>
    <n v="-481.07259318961161"/>
    <n v="-1.1352963526807576"/>
    <n v="-135.14197423600012"/>
    <n v="-4.0425071330883404E-2"/>
    <n v="645.81966667200004"/>
    <n v="3702.7152626310003"/>
    <n v="7920.2509907469994"/>
    <n v="0.84754421603951746"/>
    <n v="-8.5048938013704056E-2"/>
    <n v="2.4062826769422285E-2"/>
    <n v="84.989062890994006"/>
    <n v="0.19318428815100352"/>
    <n v="1.1075946570709141"/>
    <n v="2.4546416213533684"/>
    <n v="477.24601732299999"/>
    <n v="62.804980823448496"/>
    <n v="838.9396146748519"/>
    <n v="127.07217031499999"/>
    <n v="16.722539172969515"/>
    <n v="168.57364934900005"/>
    <n v="22.184082067545511"/>
    <n v="4989.6009190700006"/>
    <n v="1.4925412641508864"/>
    <n v="-1460.7559791520002"/>
    <n v="-2814.4783040949987"/>
    <n v="-11418.458385677999"/>
    <n v="-192.23366550650047"/>
    <n v="-1548.9353783484178"/>
    <n v="1.9614977938164886"/>
    <n v="-0.33370463243518456"/>
    <n v="0.12887576135282397"/>
    <n v="-0.43695650435824063"/>
    <n v="-3.5899379740341262"/>
    <n v="-780.96164090800016"/>
    <n v="-5085.8490281319982"/>
    <n v="-0.23360935948188696"/>
    <n v="-1.6467756848666948"/>
    <n v="1817.7137305250001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71" firstHeaderRow="1" firstDataRow="1" firstDataCol="2" rowPageCount="1" colPageCount="1"/>
  <pivotFields count="144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2">
    <i>
      <x v="18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3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4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7" baseField="3" baseItem="15" numFmtId="168"/>
    <dataField name="Remun. " fld="63" baseField="3" baseItem="17" numFmtId="168"/>
    <dataField name="Uso de ByS " fld="71" baseField="3" baseItem="17" numFmtId="168"/>
    <dataField name="Intereses " fld="72" baseField="3" baseItem="15" numFmtId="168"/>
    <dataField name="Donaciones " fld="76" baseField="3" baseItem="17" numFmtId="168"/>
    <dataField name="P. Sociales " fld="77" baseField="3" baseItem="17" numFmtId="168"/>
    <dataField name="Otros Gastos " fld="78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34" firstHeaderRow="1" firstDataRow="1" firstDataCol="3"/>
  <pivotFields count="144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32">
    <i>
      <x v="18"/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85" firstHeaderRow="0" firstDataRow="1" firstDataCol="2" rowPageCount="1" colPageCount="1"/>
  <pivotFields count="144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2">
    <i>
      <x v="18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8" baseField="1" baseItem="3" numFmtId="168"/>
    <dataField name="Inversión anualizada (% PIB) " fld="100" baseField="1" baseItem="3" numFmtId="168"/>
    <dataField name="Resultado anualizado (% PIB) " fld="119" baseField="1" baseItem="3" numFmtId="168"/>
  </dataFields>
  <formats count="1"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C171" firstHeaderRow="1" firstDataRow="1" firstDataCol="2" rowPageCount="1" colPageCount="1"/>
  <pivotFields count="144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2">
    <i>
      <x v="18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MOPC suma 12 meses (mm US$) " fld="103" baseField="137" baseItem="19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86" firstHeaderRow="0" firstDataRow="1" firstDataCol="2" rowPageCount="1" colPageCount="1"/>
  <pivotFields count="144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2">
    <i>
      <x v="18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6" baseField="1" baseItem="0" numFmtId="168"/>
    <dataField name="ANANF (% del PIB) " fld="98" baseField="1" baseItem="0" numFmtId="168"/>
    <dataField name="Resultado Fiscal (% del PIB) " fld="118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4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3" baseField="3" baseItem="15" numFmtId="168"/>
    <dataField name="RON (millones de US$) " fld="8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85" firstHeaderRow="0" firstDataRow="1" firstDataCol="2" rowPageCount="1" colPageCount="1"/>
  <pivotFields count="144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2">
    <i>
      <x v="18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7" baseField="1" baseItem="6" numFmtId="168"/>
    <dataField name="Resultado Fiscal anualizado (millones de US$) " fld="114" baseField="1" baseItem="5" numFmtId="168"/>
  </dataFields>
  <formats count="3"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4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91" baseField="3" baseItem="15" numFmtId="168"/>
    <dataField name="Inversión (USD) " fld="97" baseField="3" baseItem="15" numFmtId="3"/>
    <dataField name="Inversión_x000a_(% del PIB) " fld="98" baseField="3" baseItem="15" numFmtId="168"/>
    <dataField name="MOPC (USD) " fld="102" baseField="3" baseItem="15" numFmtId="3"/>
    <dataField name="Otras Ent. (USD) " fld="107" baseField="3" baseItem="15" numFmtId="3"/>
  </dataFields>
  <formats count="4"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4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8" baseField="3" baseItem="15" numFmtId="168"/>
    <dataField name="RON (% del PIB) " fld="86" baseField="3" baseItem="16" numFmtId="168"/>
  </dataFields>
  <formats count="1">
    <format dxfId="14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4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4" baseField="3" baseItem="15" numFmtId="168"/>
    <dataField name="Contribuciones Sociales " fld="33" baseField="3" baseItem="16" numFmtId="168"/>
    <dataField name="Donaciones " fld="35" baseField="3" baseItem="17" numFmtId="168"/>
    <dataField name="Otros Ingresos " fld="3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B215A99F-8569-4E00-9FDC-10F38E2CD8CA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E873F358-D83C-4B31-BB84-A6EE09CDE0F9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9"/>
  <sheetViews>
    <sheetView showGridLines="0" showRowColHeaders="0" tabSelected="1" zoomScale="85" zoomScaleNormal="85" workbookViewId="0">
      <selection activeCell="L7" sqref="L7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32" t="s">
        <v>188</v>
      </c>
      <c r="C6" s="232"/>
      <c r="D6" s="232"/>
      <c r="E6" s="232"/>
      <c r="F6" s="232"/>
      <c r="G6" s="232"/>
      <c r="H6" s="232"/>
      <c r="I6" s="232"/>
      <c r="J6" s="232"/>
    </row>
    <row r="7" spans="2:12" x14ac:dyDescent="0.2">
      <c r="B7" s="233" t="str">
        <f>Aux!$V$5</f>
        <v>Agosto 2024</v>
      </c>
      <c r="C7" s="233"/>
      <c r="D7" s="233"/>
      <c r="E7" s="233"/>
      <c r="F7" s="233"/>
      <c r="G7" s="233"/>
      <c r="H7" s="233"/>
      <c r="I7" s="233"/>
      <c r="J7" s="233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230" t="str">
        <f>Aux!W6</f>
        <v>ene-ago 2023</v>
      </c>
      <c r="H10" s="230" t="str">
        <f>Aux!W5</f>
        <v>ene-ago 2024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28584.110925614998</v>
      </c>
      <c r="H11" s="77">
        <f>'CA Informe'!T13</f>
        <v>33804.319605851997</v>
      </c>
      <c r="I11" s="78">
        <f>+H11/G11-1</f>
        <v>0.18262623923555488</v>
      </c>
    </row>
    <row r="12" spans="2:12" x14ac:dyDescent="0.2">
      <c r="F12" s="79" t="str">
        <f>+'1'!A12</f>
        <v xml:space="preserve">Ingresos Tributarios </v>
      </c>
      <c r="G12" s="80">
        <f>'CA Informe'!U14</f>
        <v>20832.403744930001</v>
      </c>
      <c r="H12" s="80">
        <f>'CA Informe'!T14</f>
        <v>25356.114285661002</v>
      </c>
      <c r="I12" s="81">
        <f>+H12/G12-1</f>
        <v>0.21714779514255245</v>
      </c>
    </row>
    <row r="13" spans="2:12" x14ac:dyDescent="0.2">
      <c r="F13" s="79" t="str">
        <f>+'1'!A14</f>
        <v>Contribuciones sociales</v>
      </c>
      <c r="G13" s="80">
        <f>'CA Informe'!U17</f>
        <v>2520.5891877599997</v>
      </c>
      <c r="H13" s="80">
        <f>'CA Informe'!T17</f>
        <v>2161.662799058</v>
      </c>
      <c r="I13" s="81">
        <f>+H13/G13-1</f>
        <v>-0.14239781335449231</v>
      </c>
    </row>
    <row r="14" spans="2:12" x14ac:dyDescent="0.2">
      <c r="F14" s="82" t="str">
        <f>+'1'!A16</f>
        <v>Donaciones</v>
      </c>
      <c r="G14" s="83">
        <f>'CA Informe'!U18</f>
        <v>992.19094360000008</v>
      </c>
      <c r="H14" s="83">
        <f>'CA Informe'!T18</f>
        <v>1220.537854682</v>
      </c>
      <c r="I14" s="84">
        <f>+H14/G14-1</f>
        <v>0.23014411949123526</v>
      </c>
    </row>
    <row r="15" spans="2:12" x14ac:dyDescent="0.2">
      <c r="F15" s="85" t="str">
        <f>+'1'!A26</f>
        <v>Otros ingresos</v>
      </c>
      <c r="G15" s="86">
        <f>'CA Informe'!U19</f>
        <v>4238.9270493250006</v>
      </c>
      <c r="H15" s="221">
        <f>'CA Informe'!T19</f>
        <v>5066.004666451</v>
      </c>
      <c r="I15" s="87">
        <f>+H15/G15-1</f>
        <v>0.19511485040953991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230" t="str">
        <f>Aux!W6</f>
        <v>ene-ago 2023</v>
      </c>
      <c r="D31" s="230" t="str">
        <f>Aux!W5</f>
        <v>ene-ago 2024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28761.281179672998</v>
      </c>
      <c r="D32" s="90">
        <f>'CA Informe'!T20</f>
        <v>32916.082647315998</v>
      </c>
      <c r="E32" s="91">
        <f>+D32/C32-1</f>
        <v>0.14445814988865657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12489.859790742001</v>
      </c>
      <c r="D33" s="94">
        <f>'CA Informe'!T21</f>
        <v>13410.609495988003</v>
      </c>
      <c r="E33" s="95">
        <f t="shared" ref="E33:E38" si="0">+D33/C33-1</f>
        <v>7.3719779138633701E-2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3359.0391561049996</v>
      </c>
      <c r="D34" s="83">
        <f>'CA Informe'!T22</f>
        <v>4577.4929397729993</v>
      </c>
      <c r="E34" s="84">
        <f t="shared" si="0"/>
        <v>0.36273878542126536</v>
      </c>
      <c r="F34" s="84"/>
    </row>
    <row r="35" spans="2:15" x14ac:dyDescent="0.2">
      <c r="B35" s="83" t="str">
        <f>+'1'!A42</f>
        <v>Intereses</v>
      </c>
      <c r="C35" s="83">
        <f>'CA Informe'!U23</f>
        <v>2804.5375461130002</v>
      </c>
      <c r="D35" s="83">
        <f>'CA Informe'!T23</f>
        <v>3919.8443084259998</v>
      </c>
      <c r="E35" s="84">
        <f t="shared" si="0"/>
        <v>0.39767938349008003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3188.2245873520005</v>
      </c>
      <c r="D36" s="83">
        <f>'CA Informe'!T24</f>
        <v>3804.5273532780002</v>
      </c>
      <c r="E36" s="84">
        <f t="shared" si="0"/>
        <v>0.19330594474772367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5790.0458914210003</v>
      </c>
      <c r="D37" s="83">
        <f>'CA Informe'!T25</f>
        <v>5920.8174765230006</v>
      </c>
      <c r="E37" s="84">
        <f t="shared" si="0"/>
        <v>2.2585586980538697E-2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1129.5742079400002</v>
      </c>
      <c r="D38" s="96">
        <f>'CA Informe'!T26</f>
        <v>1282.791073328</v>
      </c>
      <c r="E38" s="97">
        <f t="shared" si="0"/>
        <v>0.1356412569541765</v>
      </c>
      <c r="F38" s="84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  <c r="N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1.8554687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6" t="s">
        <v>137</v>
      </c>
      <c r="B2" s="236"/>
      <c r="C2" s="236"/>
      <c r="D2" s="236"/>
      <c r="E2" s="236"/>
      <c r="F2" s="236"/>
      <c r="G2" s="236"/>
      <c r="H2" s="236"/>
      <c r="I2" s="102"/>
    </row>
    <row r="3" spans="1:248" ht="15.75" x14ac:dyDescent="0.25">
      <c r="A3" s="237" t="s">
        <v>138</v>
      </c>
      <c r="B3" s="237"/>
      <c r="C3" s="237"/>
      <c r="D3" s="237"/>
      <c r="E3" s="237"/>
      <c r="F3" s="237"/>
      <c r="G3" s="237"/>
      <c r="H3" s="237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6" t="s">
        <v>139</v>
      </c>
      <c r="B5" s="236"/>
      <c r="C5" s="236"/>
      <c r="D5" s="236"/>
      <c r="E5" s="236"/>
      <c r="F5" s="236"/>
      <c r="G5" s="236"/>
      <c r="H5" s="236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6" t="s">
        <v>140</v>
      </c>
      <c r="B6" s="236"/>
      <c r="C6" s="236"/>
      <c r="D6" s="236"/>
      <c r="E6" s="236"/>
      <c r="F6" s="236"/>
      <c r="G6" s="236"/>
      <c r="H6" s="236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8" t="s">
        <v>141</v>
      </c>
      <c r="B8" s="234" t="s">
        <v>189</v>
      </c>
      <c r="C8" s="234" t="s">
        <v>211</v>
      </c>
      <c r="D8" s="234" t="s">
        <v>142</v>
      </c>
      <c r="E8" s="240" t="s">
        <v>204</v>
      </c>
      <c r="F8" s="240" t="s">
        <v>212</v>
      </c>
      <c r="G8" s="234" t="s">
        <v>142</v>
      </c>
      <c r="H8" s="234" t="s">
        <v>143</v>
      </c>
      <c r="I8" s="111"/>
    </row>
    <row r="9" spans="1:248" s="3" customFormat="1" ht="23.25" customHeight="1" thickBot="1" x14ac:dyDescent="0.25">
      <c r="A9" s="239"/>
      <c r="B9" s="235"/>
      <c r="C9" s="235"/>
      <c r="D9" s="235"/>
      <c r="E9" s="241"/>
      <c r="F9" s="241"/>
      <c r="G9" s="235"/>
      <c r="H9" s="235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mensual'!IH2:IO2))</f>
        <v>28584.110925615005</v>
      </c>
      <c r="D10" s="113">
        <f>IFERROR((C10/B10*100),0)</f>
        <v>58.234866971639207</v>
      </c>
      <c r="E10" s="113">
        <v>53766.108287403003</v>
      </c>
      <c r="F10" s="113">
        <f>IF($A10="","",'2'!N10)</f>
        <v>33804.319605851997</v>
      </c>
      <c r="G10" s="113">
        <f>IFERROR((F10/E10*100),0)</f>
        <v>62.872915080915568</v>
      </c>
      <c r="H10" s="113">
        <f>IF(C10&lt;&gt;0,F10/C10*100-100," ")</f>
        <v>18.262623923555438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mensual'!IH4:IO4))</f>
        <v>20832.403744930001</v>
      </c>
      <c r="D12" s="115">
        <f>IFERROR((C12/B12*100),0)</f>
        <v>64.343313578176549</v>
      </c>
      <c r="E12" s="115">
        <v>34465.310692987005</v>
      </c>
      <c r="F12" s="115">
        <f>IF($A12="","",'2'!N12)</f>
        <v>25356.114285661002</v>
      </c>
      <c r="G12" s="115">
        <f>IFERROR((F12/E12*100),0)</f>
        <v>73.569957083893229</v>
      </c>
      <c r="H12" s="115">
        <f>IF(C12&lt;&gt;0,F12/C12*100-100," ")</f>
        <v>21.714779514255241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02"/>
      <c r="F13" s="202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mensual'!IH13:IO13))</f>
        <v>2520.5891877600002</v>
      </c>
      <c r="D14" s="115">
        <f>IFERROR((C14/B14*100),0)</f>
        <v>68.527501840030908</v>
      </c>
      <c r="E14" s="203">
        <v>4759.9829034539998</v>
      </c>
      <c r="F14" s="203">
        <f>IF($A14="","",'2'!N14)</f>
        <v>2161.662799058</v>
      </c>
      <c r="G14" s="115">
        <f>IFERROR((F14/E14*100),0)</f>
        <v>45.413247125098422</v>
      </c>
      <c r="H14" s="115">
        <f>IF(C14&lt;&gt;0,F14/C14*100-100," ")</f>
        <v>-14.239781335449237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mensual'!IH14:IO14))</f>
        <v/>
      </c>
      <c r="D15" s="117"/>
      <c r="E15" s="202"/>
      <c r="F15" s="202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mensual'!IH15:IO15))</f>
        <v>992.19094359999997</v>
      </c>
      <c r="D16" s="115">
        <f t="shared" ref="D16:D33" si="0">IFERROR((C16/B16*100),0)</f>
        <v>40.280802007511411</v>
      </c>
      <c r="E16" s="203">
        <v>2256.894112422</v>
      </c>
      <c r="F16" s="203">
        <f>IF($A16="","",'2'!N16)</f>
        <v>1220.5378546819998</v>
      </c>
      <c r="G16" s="115">
        <f t="shared" ref="G16:G33" si="1">IFERROR((F16/E16*100),0)</f>
        <v>54.080421760335575</v>
      </c>
      <c r="H16" s="115">
        <f t="shared" ref="H16:H33" si="2">IF(C16&lt;&gt;0,F16/C16*100-100," ")</f>
        <v>23.014411949123527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mensual'!IH16:IO16))</f>
        <v>66.410693085999995</v>
      </c>
      <c r="D17" s="117">
        <f t="shared" si="0"/>
        <v>7.3665284079771522</v>
      </c>
      <c r="E17" s="202">
        <v>596.57291028199995</v>
      </c>
      <c r="F17" s="202">
        <f>IF($A17="","",'2'!N17)</f>
        <v>44.779382452</v>
      </c>
      <c r="G17" s="117">
        <f t="shared" si="1"/>
        <v>7.5061038944649345</v>
      </c>
      <c r="H17" s="117">
        <f t="shared" si="2"/>
        <v>-32.572029636835822</v>
      </c>
      <c r="I17" s="114"/>
    </row>
    <row r="18" spans="1:11" s="118" customFormat="1" ht="12.75" customHeight="1" x14ac:dyDescent="0.2">
      <c r="A18" s="170" t="s">
        <v>181</v>
      </c>
      <c r="B18" s="117">
        <v>140.42475430799999</v>
      </c>
      <c r="C18" s="117">
        <f>IF($A18="","",SUM('Situfin serie mensual'!IH17:IO17))</f>
        <v>0</v>
      </c>
      <c r="D18" s="117">
        <f t="shared" si="0"/>
        <v>0</v>
      </c>
      <c r="E18" s="202">
        <v>47.614178204999995</v>
      </c>
      <c r="F18" s="202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70" t="s">
        <v>182</v>
      </c>
      <c r="B19" s="117">
        <v>761.09478662100003</v>
      </c>
      <c r="C19" s="117">
        <f>IF($A19="","",SUM('Situfin serie mensual'!IH18:IO18))</f>
        <v>66.410693085999995</v>
      </c>
      <c r="D19" s="117">
        <f t="shared" si="0"/>
        <v>8.72567967267792</v>
      </c>
      <c r="E19" s="202">
        <v>548.95873207699992</v>
      </c>
      <c r="F19" s="202">
        <f>IF($A19="","",'2'!N19)</f>
        <v>44.779382452</v>
      </c>
      <c r="G19" s="117">
        <f t="shared" si="1"/>
        <v>8.157149132608934</v>
      </c>
      <c r="H19" s="117">
        <f t="shared" si="2"/>
        <v>-32.572029636835822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mensual'!IH19:IO19))</f>
        <v>66.590111535999995</v>
      </c>
      <c r="D20" s="117">
        <f t="shared" si="0"/>
        <v>325.44895917110603</v>
      </c>
      <c r="E20" s="202">
        <v>30.8843</v>
      </c>
      <c r="F20" s="202">
        <f>IF($A20="","",'2'!N20)</f>
        <v>152.51454167499998</v>
      </c>
      <c r="G20" s="117">
        <f t="shared" si="1"/>
        <v>493.82547661756939</v>
      </c>
      <c r="H20" s="117">
        <f t="shared" si="2"/>
        <v>129.0348193703617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mensual'!IH20:IO20))</f>
        <v>0</v>
      </c>
      <c r="D21" s="117">
        <f t="shared" si="0"/>
        <v>0</v>
      </c>
      <c r="E21" s="202">
        <v>0</v>
      </c>
      <c r="F21" s="202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20.460999999999999</v>
      </c>
      <c r="C22" s="117">
        <f>IF($A22="","",SUM('Situfin serie mensual'!IH21:IO21))</f>
        <v>66.590111535999995</v>
      </c>
      <c r="D22" s="117">
        <f t="shared" si="0"/>
        <v>325.44895917110603</v>
      </c>
      <c r="E22" s="202">
        <v>30.8843</v>
      </c>
      <c r="F22" s="202">
        <f>IF($A22="","",'2'!N22)</f>
        <v>152.51454167499998</v>
      </c>
      <c r="G22" s="117">
        <f t="shared" si="1"/>
        <v>493.82547661756939</v>
      </c>
      <c r="H22" s="117">
        <f t="shared" si="2"/>
        <v>129.0348193703617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mensual'!IH22:IO22))</f>
        <v>859.19013897799994</v>
      </c>
      <c r="D23" s="117">
        <f t="shared" si="0"/>
        <v>55.747941768314845</v>
      </c>
      <c r="E23" s="202">
        <v>1629.4369021399998</v>
      </c>
      <c r="F23" s="202">
        <f>IF($A23="","",'2'!N23)</f>
        <v>1023.2439305549999</v>
      </c>
      <c r="G23" s="117">
        <f t="shared" si="1"/>
        <v>62.797395174439451</v>
      </c>
      <c r="H23" s="117">
        <f t="shared" si="2"/>
        <v>19.094003077379426</v>
      </c>
      <c r="I23" s="114"/>
    </row>
    <row r="24" spans="1:11" s="118" customFormat="1" ht="12.75" customHeight="1" x14ac:dyDescent="0.2">
      <c r="A24" s="170" t="s">
        <v>181</v>
      </c>
      <c r="B24" s="117">
        <v>1541.2051310320001</v>
      </c>
      <c r="C24" s="117">
        <f>IF($A24="","",SUM('Situfin serie mensual'!IH23:IO23))</f>
        <v>859.19013897799994</v>
      </c>
      <c r="D24" s="117">
        <f t="shared" si="0"/>
        <v>55.747941768314845</v>
      </c>
      <c r="E24" s="202">
        <v>1629.4369021399998</v>
      </c>
      <c r="F24" s="202">
        <f>IF($A24="","",'2'!N24)</f>
        <v>1023.2439305549999</v>
      </c>
      <c r="G24" s="117">
        <f t="shared" si="1"/>
        <v>62.797395174439451</v>
      </c>
      <c r="H24" s="117">
        <f t="shared" si="2"/>
        <v>19.094003077379426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mensual'!IH24:IO24))</f>
        <v>0</v>
      </c>
      <c r="D25" s="117">
        <f t="shared" si="0"/>
        <v>0</v>
      </c>
      <c r="E25" s="202">
        <v>0</v>
      </c>
      <c r="F25" s="202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mensual'!IH25:IO25))</f>
        <v>4238.9270493250006</v>
      </c>
      <c r="D26" s="115">
        <f t="shared" si="0"/>
        <v>40.119191380754302</v>
      </c>
      <c r="E26" s="203">
        <v>12283.920578539999</v>
      </c>
      <c r="F26" s="203">
        <f>IF($A26="","",'2'!N26)</f>
        <v>5066.004666451</v>
      </c>
      <c r="G26" s="115">
        <f t="shared" si="1"/>
        <v>41.240942857456332</v>
      </c>
      <c r="H26" s="115">
        <f t="shared" si="2"/>
        <v>19.511485040953986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mensual'!IH26:IO26))</f>
        <v>2125.5987933440001</v>
      </c>
      <c r="D27" s="117">
        <f t="shared" si="0"/>
        <v>56.736242254664127</v>
      </c>
      <c r="E27" s="202">
        <v>4311.7268004339994</v>
      </c>
      <c r="F27" s="202">
        <f>IF($A27="","",'2'!N27)</f>
        <v>2222.8807456499999</v>
      </c>
      <c r="G27" s="117">
        <f t="shared" si="1"/>
        <v>51.554304076646382</v>
      </c>
      <c r="H27" s="117">
        <f t="shared" si="2"/>
        <v>4.5766845846273441</v>
      </c>
      <c r="I27" s="114"/>
    </row>
    <row r="28" spans="1:11" s="118" customFormat="1" ht="14.25" customHeight="1" x14ac:dyDescent="0.2">
      <c r="A28" s="170" t="s">
        <v>178</v>
      </c>
      <c r="B28" s="117">
        <v>2597.9610234389997</v>
      </c>
      <c r="C28" s="117">
        <f>IF($A28="","",SUM('Situfin serie mensual'!IH27:IO27))</f>
        <v>1454.555125116</v>
      </c>
      <c r="D28" s="117">
        <f t="shared" si="0"/>
        <v>55.988335159492166</v>
      </c>
      <c r="E28" s="202">
        <v>3294.8705018999999</v>
      </c>
      <c r="F28" s="202">
        <f>IF($A28="","",'2'!N28)</f>
        <v>1802.2410734709999</v>
      </c>
      <c r="G28" s="117">
        <f t="shared" si="1"/>
        <v>54.698388675115773</v>
      </c>
      <c r="H28" s="117">
        <f t="shared" si="2"/>
        <v>23.903250028236101</v>
      </c>
      <c r="I28" s="114"/>
    </row>
    <row r="29" spans="1:11" s="118" customFormat="1" ht="14.25" customHeight="1" x14ac:dyDescent="0.2">
      <c r="A29" s="170" t="s">
        <v>179</v>
      </c>
      <c r="B29" s="117">
        <v>1148.4957542290003</v>
      </c>
      <c r="C29" s="117">
        <f>IF($A29="","",SUM('Situfin serie mensual'!IH28:IO28))</f>
        <v>671.04366822799989</v>
      </c>
      <c r="D29" s="117">
        <f t="shared" si="0"/>
        <v>58.428049538457373</v>
      </c>
      <c r="E29" s="202">
        <v>1016.8562985339998</v>
      </c>
      <c r="F29" s="202">
        <f>IF($A29="","",'2'!N29)</f>
        <v>420.63967217899989</v>
      </c>
      <c r="G29" s="117">
        <f t="shared" si="1"/>
        <v>41.366678141782224</v>
      </c>
      <c r="H29" s="117">
        <f t="shared" si="2"/>
        <v>-37.315603723708854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mensual'!IH29:IO29))</f>
        <v>1763.258175705</v>
      </c>
      <c r="D30" s="117">
        <f t="shared" si="0"/>
        <v>70.056103988843162</v>
      </c>
      <c r="E30" s="202">
        <v>2314.1939550569996</v>
      </c>
      <c r="F30" s="202">
        <f>IF($A30="","",'2'!N30)</f>
        <v>2408.8455610890005</v>
      </c>
      <c r="G30" s="117">
        <f t="shared" si="1"/>
        <v>104.09004637771035</v>
      </c>
      <c r="H30" s="117">
        <f t="shared" si="2"/>
        <v>36.613321536188352</v>
      </c>
      <c r="I30" s="114"/>
    </row>
    <row r="31" spans="1:11" s="118" customFormat="1" ht="14.25" customHeight="1" x14ac:dyDescent="0.2">
      <c r="A31" s="170" t="s">
        <v>180</v>
      </c>
      <c r="B31" s="117">
        <v>565.49755947099993</v>
      </c>
      <c r="C31" s="117">
        <f>IF($A31="","",SUM('Situfin serie mensual'!IH30:IO30))</f>
        <v>716.19784337500005</v>
      </c>
      <c r="D31" s="117">
        <f t="shared" si="0"/>
        <v>126.64914841453501</v>
      </c>
      <c r="E31" s="202">
        <v>357.71500100399999</v>
      </c>
      <c r="F31" s="202">
        <f>IF($A31="","",'2'!N31)</f>
        <v>1347.553825859</v>
      </c>
      <c r="G31" s="117">
        <f t="shared" si="1"/>
        <v>376.71157823317884</v>
      </c>
      <c r="H31" s="117">
        <f t="shared" si="2"/>
        <v>88.153851386763108</v>
      </c>
      <c r="I31" s="114"/>
    </row>
    <row r="32" spans="1:11" s="118" customFormat="1" ht="14.25" customHeight="1" x14ac:dyDescent="0.2">
      <c r="A32" s="170" t="s">
        <v>23</v>
      </c>
      <c r="B32" s="117">
        <v>1951.4254141300003</v>
      </c>
      <c r="C32" s="117">
        <f>IF($A32="","",SUM('Situfin serie mensual'!IH31:IO31))</f>
        <v>1047.0603323299999</v>
      </c>
      <c r="D32" s="117">
        <f t="shared" si="0"/>
        <v>53.656179977383786</v>
      </c>
      <c r="E32" s="202">
        <v>1956.4789540529998</v>
      </c>
      <c r="F32" s="202">
        <f>IF($A32="","",'2'!N32)</f>
        <v>1061.2917352300001</v>
      </c>
      <c r="G32" s="117">
        <f t="shared" si="1"/>
        <v>54.244986026118546</v>
      </c>
      <c r="H32" s="117">
        <f t="shared" si="2"/>
        <v>1.3591769700922072</v>
      </c>
      <c r="I32" s="114"/>
    </row>
    <row r="33" spans="1:13" s="118" customFormat="1" ht="12.75" customHeight="1" x14ac:dyDescent="0.2">
      <c r="A33" s="171" t="s">
        <v>17</v>
      </c>
      <c r="B33" s="117">
        <v>4302.4539643089993</v>
      </c>
      <c r="C33" s="117">
        <f>IF($A33="","",SUM('Situfin serie mensual'!IH32:IO32))</f>
        <v>350.070080276</v>
      </c>
      <c r="D33" s="117">
        <f t="shared" si="0"/>
        <v>8.1365212313718143</v>
      </c>
      <c r="E33" s="202">
        <v>5657.999823049</v>
      </c>
      <c r="F33" s="202">
        <f>IF($A33="","",'2'!N33)</f>
        <v>434.278359712</v>
      </c>
      <c r="G33" s="117">
        <f t="shared" si="1"/>
        <v>7.6754749610079482</v>
      </c>
      <c r="H33" s="117">
        <f t="shared" si="2"/>
        <v>24.05469195471062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mensual'!IH33:IO33))</f>
        <v/>
      </c>
      <c r="D34" s="117"/>
      <c r="E34" s="202"/>
      <c r="F34" s="202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mensual'!IH34:IO34))</f>
        <v>28761.281179673002</v>
      </c>
      <c r="D35" s="121">
        <f t="shared" ref="D35:D70" si="3">IFERROR((C35/B35*100),0)</f>
        <v>55.431209801893701</v>
      </c>
      <c r="E35" s="204">
        <v>55473.632065024998</v>
      </c>
      <c r="F35" s="204">
        <f>IF($A35="","",'2'!N35)</f>
        <v>32916.082647316005</v>
      </c>
      <c r="G35" s="121">
        <f t="shared" ref="G35:G70" si="4">IFERROR((F35/E35*100),0)</f>
        <v>59.336447645491255</v>
      </c>
      <c r="H35" s="121">
        <f t="shared" ref="H35:H70" si="5">IF(C35&lt;&gt;0,F35/C35*100-100," ")</f>
        <v>14.445814988865664</v>
      </c>
      <c r="I35" s="114"/>
      <c r="M35" s="225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mensual'!IH35:IO35))</f>
        <v>12489.859790741999</v>
      </c>
      <c r="D36" s="123">
        <f t="shared" si="3"/>
        <v>59.200995908624691</v>
      </c>
      <c r="E36" s="204">
        <v>22855.566579222992</v>
      </c>
      <c r="F36" s="204">
        <f>IF($A36="","",'2'!N36)</f>
        <v>13410.609495988001</v>
      </c>
      <c r="G36" s="123">
        <f t="shared" si="4"/>
        <v>58.675462931551245</v>
      </c>
      <c r="H36" s="123">
        <f t="shared" si="5"/>
        <v>7.3719779138633754</v>
      </c>
      <c r="I36" s="114"/>
    </row>
    <row r="37" spans="1:13" s="118" customFormat="1" ht="12.75" x14ac:dyDescent="0.2">
      <c r="A37" s="154" t="s">
        <v>26</v>
      </c>
      <c r="B37" s="115">
        <v>7759.7099901840011</v>
      </c>
      <c r="C37" s="115">
        <f>IF($A37="","",SUM('Situfin serie mensual'!IH36:IO36))</f>
        <v>3359.0391561050001</v>
      </c>
      <c r="D37" s="115">
        <f t="shared" si="3"/>
        <v>43.288204847270968</v>
      </c>
      <c r="E37" s="203">
        <v>7020.7838744869996</v>
      </c>
      <c r="F37" s="203">
        <f>IF($A37="","",'2'!N37)</f>
        <v>4577.4929397730002</v>
      </c>
      <c r="G37" s="115">
        <f t="shared" si="4"/>
        <v>65.199171796289946</v>
      </c>
      <c r="H37" s="115">
        <f t="shared" si="5"/>
        <v>36.273878542126539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mensual'!IH37:IO37))</f>
        <v>1193.495793389</v>
      </c>
      <c r="D38" s="117">
        <f t="shared" si="3"/>
        <v>54.290232597429878</v>
      </c>
      <c r="E38" s="202">
        <v>2034.418096767</v>
      </c>
      <c r="F38" s="202">
        <f>IF($A38="","",'2'!N38)</f>
        <v>1131.299998043</v>
      </c>
      <c r="G38" s="117">
        <f t="shared" si="4"/>
        <v>55.608038477479525</v>
      </c>
      <c r="H38" s="117">
        <f t="shared" si="5"/>
        <v>-5.2112287023142017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mensual'!IH38:IO38))</f>
        <v>1997.7462383259999</v>
      </c>
      <c r="D39" s="117">
        <f t="shared" si="3"/>
        <v>37.473033507407209</v>
      </c>
      <c r="E39" s="202">
        <v>4767.9686333489999</v>
      </c>
      <c r="F39" s="202">
        <f>IF($A39="","",'2'!N39)</f>
        <v>3267.9625527829999</v>
      </c>
      <c r="G39" s="117">
        <f t="shared" si="4"/>
        <v>68.539933965286963</v>
      </c>
      <c r="H39" s="117">
        <f t="shared" si="5"/>
        <v>63.582465584886819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mensual'!IH39:IO39))</f>
        <v>58.512135819999997</v>
      </c>
      <c r="D40" s="117">
        <f t="shared" si="3"/>
        <v>49.507358271259044</v>
      </c>
      <c r="E40" s="202">
        <v>101.109362598</v>
      </c>
      <c r="F40" s="202">
        <f>IF($A40="","",'2'!N40)</f>
        <v>62.237080516999995</v>
      </c>
      <c r="G40" s="117">
        <f t="shared" si="4"/>
        <v>61.55422101160697</v>
      </c>
      <c r="H40" s="117">
        <f t="shared" si="5"/>
        <v>6.3661061842948072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mensual'!IH40:IO40))</f>
        <v>109.28498856999988</v>
      </c>
      <c r="D41" s="117">
        <f t="shared" si="3"/>
        <v>97.573840446986395</v>
      </c>
      <c r="E41" s="202">
        <v>117.28778177300002</v>
      </c>
      <c r="F41" s="202">
        <f>IF($A41="","",'2'!N41)</f>
        <v>115.99330843000013</v>
      </c>
      <c r="G41" s="117">
        <f t="shared" si="4"/>
        <v>98.89632720183485</v>
      </c>
      <c r="H41" s="117">
        <f t="shared" si="5"/>
        <v>6.138372660123764</v>
      </c>
      <c r="I41" s="114"/>
    </row>
    <row r="42" spans="1:13" s="118" customFormat="1" ht="12.75" x14ac:dyDescent="0.2">
      <c r="A42" s="154" t="s">
        <v>31</v>
      </c>
      <c r="B42" s="115">
        <v>5244.0037177670001</v>
      </c>
      <c r="C42" s="115">
        <f>IF($A42="","",SUM('Situfin serie mensual'!IH41:IO41))</f>
        <v>2804.5375461129997</v>
      </c>
      <c r="D42" s="115">
        <f t="shared" si="3"/>
        <v>53.480845877569806</v>
      </c>
      <c r="E42" s="203">
        <v>6463.0685330360002</v>
      </c>
      <c r="F42" s="203">
        <f>IF($A42="","",'2'!N42)</f>
        <v>3919.8443084259998</v>
      </c>
      <c r="G42" s="115">
        <f>IFERROR((F42/E42*100),0)</f>
        <v>60.64989545429853</v>
      </c>
      <c r="H42" s="115">
        <f t="shared" si="5"/>
        <v>39.767938349008034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mensual'!IH42:IO42))</f>
        <v>2573.4908557510003</v>
      </c>
      <c r="D43" s="117">
        <f t="shared" si="3"/>
        <v>53.070729209741387</v>
      </c>
      <c r="E43" s="202">
        <v>5813.1996694790005</v>
      </c>
      <c r="F43" s="202">
        <f>IF($A43="","",'2'!N43)</f>
        <v>3453.0449106349997</v>
      </c>
      <c r="G43" s="117">
        <f t="shared" si="4"/>
        <v>59.40007408939514</v>
      </c>
      <c r="H43" s="117">
        <f t="shared" si="5"/>
        <v>34.177469600035806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mensual'!IH43:IO43))</f>
        <v>231.04669036200002</v>
      </c>
      <c r="D44" s="117">
        <f t="shared" si="3"/>
        <v>58.517739565570878</v>
      </c>
      <c r="E44" s="202">
        <v>649.86886355699994</v>
      </c>
      <c r="F44" s="202">
        <f>IF($A44="","",'2'!N44)</f>
        <v>466.79939779100005</v>
      </c>
      <c r="G44" s="117">
        <f t="shared" si="4"/>
        <v>71.829783509863006</v>
      </c>
      <c r="H44" s="117">
        <f t="shared" si="5"/>
        <v>102.0368251367837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mensual'!IH44:IO44))</f>
        <v>0</v>
      </c>
      <c r="D45" s="117">
        <f t="shared" si="3"/>
        <v>0</v>
      </c>
      <c r="E45" s="202">
        <v>0</v>
      </c>
      <c r="F45" s="202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5496.8092197080005</v>
      </c>
      <c r="C46" s="115">
        <f>IF($A46="","",SUM('Situfin serie mensual'!IH45:IO45))</f>
        <v>3188.2245873520005</v>
      </c>
      <c r="D46" s="115">
        <f t="shared" si="3"/>
        <v>58.001368792664124</v>
      </c>
      <c r="E46" s="203">
        <v>6075.4045129590004</v>
      </c>
      <c r="F46" s="203">
        <f>IF($A46="","",'2'!N46)</f>
        <v>3804.5273532779997</v>
      </c>
      <c r="G46" s="115">
        <f t="shared" si="4"/>
        <v>62.6217948971602</v>
      </c>
      <c r="H46" s="115">
        <f t="shared" si="5"/>
        <v>19.33059447477234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mensual'!IH46:IO46))</f>
        <v>0</v>
      </c>
      <c r="D47" s="117">
        <f t="shared" si="3"/>
        <v>0</v>
      </c>
      <c r="E47" s="202">
        <v>0</v>
      </c>
      <c r="F47" s="202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mensual'!IH47:IO47))</f>
        <v>0</v>
      </c>
      <c r="D48" s="117">
        <f t="shared" si="3"/>
        <v>0</v>
      </c>
      <c r="E48" s="202">
        <v>0</v>
      </c>
      <c r="F48" s="202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mensual'!IH48:IO48))</f>
        <v>0</v>
      </c>
      <c r="D49" s="117">
        <f t="shared" si="3"/>
        <v>0</v>
      </c>
      <c r="E49" s="202">
        <v>0</v>
      </c>
      <c r="F49" s="202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mensual'!IH49:IO49))</f>
        <v>44.334220998999996</v>
      </c>
      <c r="D50" s="117">
        <f t="shared" si="3"/>
        <v>60.29881634124272</v>
      </c>
      <c r="E50" s="202">
        <v>63.092005325000002</v>
      </c>
      <c r="F50" s="202">
        <f>IF($A50="","",'2'!N50)</f>
        <v>35.671974030999998</v>
      </c>
      <c r="G50" s="117">
        <f t="shared" si="4"/>
        <v>56.539610442315571</v>
      </c>
      <c r="H50" s="117">
        <f t="shared" si="5"/>
        <v>-19.538511724826265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mensual'!IH50:IO50))</f>
        <v>44.334220998999996</v>
      </c>
      <c r="D51" s="117">
        <f t="shared" si="3"/>
        <v>60.29881634124272</v>
      </c>
      <c r="E51" s="202">
        <v>63.092005325000002</v>
      </c>
      <c r="F51" s="202">
        <f>IF($A51="","",'2'!N51)</f>
        <v>35.671974030999998</v>
      </c>
      <c r="G51" s="117">
        <f t="shared" si="4"/>
        <v>56.539610442315571</v>
      </c>
      <c r="H51" s="117">
        <f t="shared" si="5"/>
        <v>-19.538511724826265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mensual'!IH51:IO51))</f>
        <v>0</v>
      </c>
      <c r="D52" s="117">
        <f t="shared" si="3"/>
        <v>0</v>
      </c>
      <c r="E52" s="202">
        <v>0</v>
      </c>
      <c r="F52" s="202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mensual'!IH52:IO52))</f>
        <v>3143.890366353</v>
      </c>
      <c r="D53" s="117">
        <f t="shared" si="3"/>
        <v>57.970221990067706</v>
      </c>
      <c r="E53" s="202">
        <v>6012.3125076340002</v>
      </c>
      <c r="F53" s="202">
        <f>IF($A53="","",'2'!N53)</f>
        <v>3768.8553792470002</v>
      </c>
      <c r="G53" s="117">
        <f t="shared" si="4"/>
        <v>62.685620124728715</v>
      </c>
      <c r="H53" s="117">
        <f t="shared" si="5"/>
        <v>19.87871522437905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mensual'!IH53:IO53))</f>
        <v>2189.1166217240002</v>
      </c>
      <c r="D54" s="117">
        <f t="shared" si="3"/>
        <v>58.961532665681723</v>
      </c>
      <c r="E54" s="202">
        <v>4120.7087266750004</v>
      </c>
      <c r="F54" s="202">
        <f>IF($A54="","",'2'!N54)</f>
        <v>2481.2129265359999</v>
      </c>
      <c r="G54" s="117">
        <f t="shared" si="4"/>
        <v>60.213256774838598</v>
      </c>
      <c r="H54" s="117">
        <f t="shared" si="5"/>
        <v>13.343113012497469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mensual'!IH54:IO54))</f>
        <v>954.77374462900002</v>
      </c>
      <c r="D55" s="117">
        <f t="shared" si="3"/>
        <v>55.818493067983574</v>
      </c>
      <c r="E55" s="202">
        <v>1891.603780959</v>
      </c>
      <c r="F55" s="202">
        <f>IF($A55="","",'2'!N55)</f>
        <v>1287.642452711</v>
      </c>
      <c r="G55" s="117">
        <f t="shared" si="4"/>
        <v>68.071467485553171</v>
      </c>
      <c r="H55" s="117">
        <f t="shared" si="5"/>
        <v>34.863621874242483</v>
      </c>
      <c r="I55" s="114"/>
    </row>
    <row r="56" spans="1:9" s="118" customFormat="1" ht="12.75" x14ac:dyDescent="0.2">
      <c r="A56" s="154" t="s">
        <v>35</v>
      </c>
      <c r="B56" s="115">
        <v>9617.9789692800005</v>
      </c>
      <c r="C56" s="115">
        <f>IF($A56="","",SUM('Situfin serie mensual'!IH55:IO55))</f>
        <v>5790.0458914210003</v>
      </c>
      <c r="D56" s="115">
        <f t="shared" si="3"/>
        <v>60.200234476645377</v>
      </c>
      <c r="E56" s="203">
        <v>10571.074007154999</v>
      </c>
      <c r="F56" s="203">
        <f>IF($A56="","",'2'!N56)</f>
        <v>5920.8174765229987</v>
      </c>
      <c r="G56" s="115">
        <f t="shared" si="4"/>
        <v>56.009611440762896</v>
      </c>
      <c r="H56" s="115">
        <f t="shared" si="5"/>
        <v>2.2585586980538466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mensual'!IH56:IO56))</f>
        <v>3135.3140747970001</v>
      </c>
      <c r="D57" s="117">
        <f t="shared" si="3"/>
        <v>61.555807413518252</v>
      </c>
      <c r="E57" s="202">
        <v>5976.5180528759993</v>
      </c>
      <c r="F57" s="202">
        <f>IF($A57="","",'2'!N57)</f>
        <v>3491.3479689759997</v>
      </c>
      <c r="G57" s="117">
        <f t="shared" si="4"/>
        <v>58.417759941273914</v>
      </c>
      <c r="H57" s="117">
        <f t="shared" si="5"/>
        <v>11.355605393442175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mensual'!IH57:IO57))</f>
        <v>1983.9871701110001</v>
      </c>
      <c r="D58" s="117">
        <f t="shared" si="3"/>
        <v>55.789918745976827</v>
      </c>
      <c r="E58" s="202">
        <v>4253.9834474700001</v>
      </c>
      <c r="F58" s="202">
        <f>IF($A58="","",'2'!N58)</f>
        <v>2208.5647749</v>
      </c>
      <c r="G58" s="117">
        <f t="shared" si="4"/>
        <v>51.917568607689681</v>
      </c>
      <c r="H58" s="117">
        <f t="shared" si="5"/>
        <v>11.319508924870476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mensual'!IH58:IO58))</f>
        <v>670.74464651300002</v>
      </c>
      <c r="D59" s="117">
        <f t="shared" si="3"/>
        <v>69.266454085813123</v>
      </c>
      <c r="E59" s="117">
        <v>340.572506809</v>
      </c>
      <c r="F59" s="202">
        <f>IF($A59="","",'2'!N59)</f>
        <v>220.90473264700003</v>
      </c>
      <c r="G59" s="117">
        <f t="shared" si="4"/>
        <v>64.862761447414158</v>
      </c>
      <c r="H59" s="117">
        <f t="shared" si="5"/>
        <v>-67.065747927260048</v>
      </c>
      <c r="I59" s="114"/>
    </row>
    <row r="60" spans="1:9" s="118" customFormat="1" ht="12.75" x14ac:dyDescent="0.2">
      <c r="A60" s="154" t="s">
        <v>39</v>
      </c>
      <c r="B60" s="115">
        <v>2670.5564618910003</v>
      </c>
      <c r="C60" s="115">
        <f>IF($A60="","",SUM('Situfin serie mensual'!IH59:IO59))</f>
        <v>1129.5742079400002</v>
      </c>
      <c r="D60" s="115">
        <f t="shared" si="3"/>
        <v>42.297334808647243</v>
      </c>
      <c r="E60" s="203">
        <v>2487.7345581649997</v>
      </c>
      <c r="F60" s="203">
        <f>IF($A60="","",'2'!N60)</f>
        <v>1282.791073328</v>
      </c>
      <c r="G60" s="115">
        <f t="shared" si="4"/>
        <v>51.564628111859776</v>
      </c>
      <c r="H60" s="115">
        <f t="shared" si="5"/>
        <v>13.564125695417644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mensual'!IH60:IO60))</f>
        <v>349.43161399000002</v>
      </c>
      <c r="D61" s="117">
        <f t="shared" si="3"/>
        <v>33.585425071260879</v>
      </c>
      <c r="E61" s="202">
        <v>896.471803378</v>
      </c>
      <c r="F61" s="202">
        <f>IF($A61="","",'2'!N61)</f>
        <v>586.49635119300001</v>
      </c>
      <c r="G61" s="117">
        <f t="shared" si="4"/>
        <v>65.422732648480419</v>
      </c>
      <c r="H61" s="117">
        <f t="shared" si="5"/>
        <v>67.842956307263108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mensual'!IH61:IO61))</f>
        <v>76.804847784000003</v>
      </c>
      <c r="D62" s="117">
        <f t="shared" si="3"/>
        <v>38.795214494236184</v>
      </c>
      <c r="E62" s="202">
        <v>202.765445167</v>
      </c>
      <c r="F62" s="202">
        <f>IF($A62="","",'2'!N62)</f>
        <v>123.56817166999998</v>
      </c>
      <c r="G62" s="117">
        <f t="shared" si="4"/>
        <v>60.941434852584365</v>
      </c>
      <c r="H62" s="117">
        <f t="shared" si="5"/>
        <v>60.885901391945367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mensual'!IH62:IO62))</f>
        <v>140.02481012300001</v>
      </c>
      <c r="D63" s="117">
        <f t="shared" si="3"/>
        <v>44.900311352753981</v>
      </c>
      <c r="E63" s="202">
        <v>272.13983618099996</v>
      </c>
      <c r="F63" s="202">
        <f>IF($A63="","",'2'!N63)</f>
        <v>147.46325439099999</v>
      </c>
      <c r="G63" s="117">
        <f t="shared" si="4"/>
        <v>54.186574248145838</v>
      </c>
      <c r="H63" s="117">
        <f t="shared" si="5"/>
        <v>5.3122330688868118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mensual'!IH63:IO63))</f>
        <v>17.797464811000005</v>
      </c>
      <c r="D64" s="117">
        <f t="shared" si="3"/>
        <v>56.293131006505291</v>
      </c>
      <c r="E64" s="202">
        <v>26.549646938999999</v>
      </c>
      <c r="F64" s="202">
        <f>IF($A64="","",'2'!N64)</f>
        <v>8.4032193189999997</v>
      </c>
      <c r="G64" s="117">
        <f t="shared" si="4"/>
        <v>31.650964467840524</v>
      </c>
      <c r="H64" s="117">
        <f t="shared" si="5"/>
        <v>-52.784177925126407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mensual'!IH64:IO64))</f>
        <v>90.958311567999999</v>
      </c>
      <c r="D65" s="117">
        <f t="shared" si="3"/>
        <v>19.52456501192308</v>
      </c>
      <c r="E65" s="202">
        <v>359.21298216399998</v>
      </c>
      <c r="F65" s="202">
        <f>IF($A65="","",'2'!N65)</f>
        <v>280.55620518000001</v>
      </c>
      <c r="G65" s="117">
        <f t="shared" si="4"/>
        <v>78.103024976951147</v>
      </c>
      <c r="H65" s="117">
        <f t="shared" si="5"/>
        <v>208.44482526509688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mensual'!IH65:IO65))</f>
        <v>23.846179704000001</v>
      </c>
      <c r="D66" s="117">
        <f t="shared" si="3"/>
        <v>72.01565812810118</v>
      </c>
      <c r="E66" s="202">
        <v>35.803892927</v>
      </c>
      <c r="F66" s="202">
        <f>IF($A66="","",'2'!N66)</f>
        <v>26.505500633</v>
      </c>
      <c r="G66" s="117">
        <f t="shared" si="4"/>
        <v>74.029661207628052</v>
      </c>
      <c r="H66" s="117">
        <f t="shared" si="5"/>
        <v>11.151978899806409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mensual'!IH66:IO66))</f>
        <v>780.14259394999999</v>
      </c>
      <c r="D67" s="117">
        <f t="shared" si="3"/>
        <v>47.857688831622781</v>
      </c>
      <c r="E67" s="202">
        <v>1591.2627547869999</v>
      </c>
      <c r="F67" s="202">
        <f>IF($A67="","",'2'!N67)</f>
        <v>696.29472213500003</v>
      </c>
      <c r="G67" s="117">
        <f t="shared" si="4"/>
        <v>43.757369425026432</v>
      </c>
      <c r="H67" s="117">
        <f t="shared" si="5"/>
        <v>-10.747762327712849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mensual'!IH67:IO67))</f>
        <v>425.06686169500006</v>
      </c>
      <c r="D68" s="117">
        <f t="shared" si="3"/>
        <v>42.966458396191094</v>
      </c>
      <c r="E68" s="202">
        <v>921.85480452299998</v>
      </c>
      <c r="F68" s="202">
        <f>IF($A68="","",'2'!N68)</f>
        <v>696.29472213500003</v>
      </c>
      <c r="G68" s="117">
        <f t="shared" si="4"/>
        <v>75.531929618275115</v>
      </c>
      <c r="H68" s="117">
        <f t="shared" si="5"/>
        <v>63.808281680310131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mensual'!IH68:IO68))</f>
        <v>0</v>
      </c>
      <c r="D69" s="117">
        <f t="shared" si="3"/>
        <v>0</v>
      </c>
      <c r="E69" s="202">
        <v>0</v>
      </c>
      <c r="F69" s="202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mensual'!IH69:IO69))</f>
        <v>355.07573225500005</v>
      </c>
      <c r="D70" s="117">
        <f t="shared" si="3"/>
        <v>55.408653132403252</v>
      </c>
      <c r="E70" s="202">
        <v>669.40795026399996</v>
      </c>
      <c r="F70" s="202">
        <f>IF($A70="","",'2'!N70)</f>
        <v>0</v>
      </c>
      <c r="G70" s="117">
        <f t="shared" si="4"/>
        <v>0</v>
      </c>
      <c r="H70" s="117">
        <f t="shared" si="5"/>
        <v>-100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mensual'!IH70:IO70))</f>
        <v/>
      </c>
      <c r="D71" s="117"/>
      <c r="E71" s="202"/>
      <c r="F71" s="202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mensual'!IH71:IO71))</f>
        <v>-177.17025405799995</v>
      </c>
      <c r="D72" s="199"/>
      <c r="E72" s="205">
        <v>-1707.5237776219947</v>
      </c>
      <c r="F72" s="205">
        <f>IF($A72="","",'2'!N72)</f>
        <v>888.23695853600157</v>
      </c>
      <c r="G72" s="199"/>
      <c r="H72" s="199"/>
      <c r="I72" s="114"/>
      <c r="L72" s="220"/>
    </row>
    <row r="73" spans="1:12" s="118" customFormat="1" ht="7.5" customHeight="1" x14ac:dyDescent="0.2">
      <c r="A73" s="112"/>
      <c r="B73" s="115"/>
      <c r="C73" s="115" t="str">
        <f>IF($A73="","",SUM('Situfin serie mensual'!IH72:IO72))</f>
        <v/>
      </c>
      <c r="D73" s="121"/>
      <c r="E73" s="203"/>
      <c r="F73" s="203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mensual'!IH73:IO73))</f>
        <v/>
      </c>
      <c r="D74" s="121"/>
      <c r="E74" s="204"/>
      <c r="F74" s="204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mensual'!IH74:IO74))</f>
        <v>4046.8997922060003</v>
      </c>
      <c r="D75" s="115">
        <f>IFERROR((C75/B75*100),0)</f>
        <v>37.515824084838712</v>
      </c>
      <c r="E75" s="203">
        <v>9139.2184457439998</v>
      </c>
      <c r="F75" s="203">
        <f>IF($A75="","",'2'!N75)</f>
        <v>3702.7152626310003</v>
      </c>
      <c r="G75" s="115">
        <f>IFERROR((F75/E75*100),0)</f>
        <v>40.514572275655588</v>
      </c>
      <c r="H75" s="115">
        <f>IF(C75&lt;&gt;0,F75/C75*100-100," ")</f>
        <v>-8.5048938013704003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mensual'!IH75:IO75))</f>
        <v>3726.9121915999999</v>
      </c>
      <c r="D76" s="117">
        <f>IFERROR((C76/B76*100),0)</f>
        <v>35.004984895469278</v>
      </c>
      <c r="E76" s="202">
        <v>9020.0946158440001</v>
      </c>
      <c r="F76" s="202">
        <f>IF($A76="","",'2'!N76)</f>
        <v>3414.0725316740004</v>
      </c>
      <c r="G76" s="117">
        <f>IFERROR((F76/E76*100),0)</f>
        <v>37.849631041309749</v>
      </c>
      <c r="H76" s="117">
        <f>IF(C76&lt;&gt;0,F76/C76*100-100," ")</f>
        <v>-8.3940711195477462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mensual'!IH76:IO76))</f>
        <v>52.443652465999996</v>
      </c>
      <c r="D77" s="117">
        <f>IFERROR((C77/B77*100),0)</f>
        <v>37.359233532849167</v>
      </c>
      <c r="E77" s="202">
        <v>119.1238299</v>
      </c>
      <c r="F77" s="202">
        <f>IF($A77="","",'2'!N77)</f>
        <v>45.949428648999998</v>
      </c>
      <c r="G77" s="117">
        <f>IFERROR((F77/E77*100),0)</f>
        <v>38.57282685384849</v>
      </c>
      <c r="H77" s="117">
        <f>IF(C77&lt;&gt;0,F77/C77*100-100," ")</f>
        <v>-12.383240891183732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mensual'!IH77:IO77))</f>
        <v>267.54394813999994</v>
      </c>
      <c r="D78" s="117">
        <v>0</v>
      </c>
      <c r="E78" s="202"/>
      <c r="F78" s="202">
        <f>IF($A78="","",'2'!N78)</f>
        <v>242.693302308</v>
      </c>
      <c r="G78" s="117">
        <v>0</v>
      </c>
      <c r="H78" s="117">
        <f>IF(C78&lt;&gt;0,F78/C78*100-100," ")</f>
        <v>-9.2884350420799393</v>
      </c>
      <c r="I78" s="114"/>
      <c r="J78" s="128"/>
    </row>
    <row r="79" spans="1:12" s="118" customFormat="1" ht="13.5" x14ac:dyDescent="0.25">
      <c r="A79" s="149" t="s">
        <v>55</v>
      </c>
      <c r="B79" s="130">
        <v>-13589.433561217007</v>
      </c>
      <c r="C79" s="130">
        <f>IF($A79="","",SUM('Situfin serie mensual'!IH78:IO78))</f>
        <v>-4224.0700462639998</v>
      </c>
      <c r="D79" s="200">
        <f>IFERROR((C79/B79*100),0)</f>
        <v>31.083488706395439</v>
      </c>
      <c r="E79" s="206">
        <v>-10846.742223365995</v>
      </c>
      <c r="F79" s="206">
        <f>IF($A79="","",'2'!N79)</f>
        <v>-2814.4783040949987</v>
      </c>
      <c r="G79" s="200">
        <f>IFERROR((F79/E79*100),0)</f>
        <v>25.947683148881922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mensual'!IH79:IO79))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mensual'!IH81:IO81))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mensual'!IH82:IO82))</f>
        <v>1829.3945233273164</v>
      </c>
      <c r="D83" s="115">
        <f t="shared" ref="D83:D90" si="6">IFERROR((C83/B83*100),0)</f>
        <v>-332.23901638907438</v>
      </c>
      <c r="E83" s="115">
        <v>31.102532210999669</v>
      </c>
      <c r="F83" s="115">
        <f>IF($A83="","",'2'!N83)</f>
        <v>6362.5392008317949</v>
      </c>
      <c r="G83" s="115">
        <f t="shared" ref="G83:G95" si="7">IFERROR((F83/E83*100),0)</f>
        <v>20456.659791133116</v>
      </c>
      <c r="H83" s="115">
        <f t="shared" ref="H83:H88" si="8">IF(C83&lt;&gt;0,F83/C83*100-100," ")</f>
        <v>247.79480968706309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mensual'!IH83:IO83))</f>
        <v>1829.3945233273164</v>
      </c>
      <c r="D84" s="117">
        <f t="shared" si="6"/>
        <v>-332.23901638907438</v>
      </c>
      <c r="E84" s="117">
        <v>31.102532210999669</v>
      </c>
      <c r="F84" s="117">
        <f>IF($A84="","",'2'!N84)</f>
        <v>6362.5392008317949</v>
      </c>
      <c r="G84" s="117">
        <f t="shared" si="7"/>
        <v>20456.659791133116</v>
      </c>
      <c r="H84" s="117">
        <f t="shared" si="8"/>
        <v>247.79480968706309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mensual'!IH84:IO84))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mensual'!IH85:IO85))</f>
        <v>7034.5567834590001</v>
      </c>
      <c r="D86" s="115">
        <f t="shared" si="6"/>
        <v>53.950921274219667</v>
      </c>
      <c r="E86" s="115">
        <v>10877.844755577</v>
      </c>
      <c r="F86" s="115">
        <f>IF($A86="","",'2'!N86)</f>
        <v>6780.4664300569993</v>
      </c>
      <c r="G86" s="115">
        <f t="shared" si="7"/>
        <v>62.332811162622072</v>
      </c>
      <c r="H86" s="115">
        <f t="shared" si="8"/>
        <v>-3.6120307394414226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mensual'!IH86:IO86))</f>
        <v>-465.01926038000045</v>
      </c>
      <c r="D87" s="117">
        <f t="shared" si="6"/>
        <v>-35.736107231852884</v>
      </c>
      <c r="E87" s="117">
        <v>1168.1385423909999</v>
      </c>
      <c r="F87" s="117">
        <f>IF($A87="","",'2'!N87)</f>
        <v>-1858.4812444670004</v>
      </c>
      <c r="G87" s="117">
        <f t="shared" si="7"/>
        <v>-159.09767352278055</v>
      </c>
      <c r="H87" s="117">
        <f t="shared" si="8"/>
        <v>299.65683205213963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mensual'!IH87:IO87))</f>
        <v>7499.5760438390007</v>
      </c>
      <c r="D88" s="117">
        <f t="shared" si="6"/>
        <v>63.893886663212442</v>
      </c>
      <c r="E88" s="117">
        <v>9709.7062131860002</v>
      </c>
      <c r="F88" s="117">
        <f>IF($A88="","",'2'!N88)</f>
        <v>8638.947674523999</v>
      </c>
      <c r="G88" s="117">
        <f t="shared" si="7"/>
        <v>88.972286955419037</v>
      </c>
      <c r="H88" s="117">
        <f t="shared" si="8"/>
        <v>15.192480535229819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mensual'!IH88:IO88))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mensual'!IH89:IO89))</f>
        <v>-1114.3743739149998</v>
      </c>
      <c r="D90" s="115">
        <f t="shared" si="6"/>
        <v>237.62955311118202</v>
      </c>
      <c r="E90" s="115">
        <v>-258.468960353</v>
      </c>
      <c r="F90" s="115">
        <f>IF($A90="","",'2'!N90)</f>
        <v>-2962.892726818</v>
      </c>
      <c r="G90" s="115"/>
      <c r="H90" s="115">
        <f t="shared" ref="H90:H95" si="9">IF(C90&lt;&gt;0,F90/C90*100-100," ")</f>
        <v>165.87947427477354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mensual'!IH90:IO90))</f>
        <v>2162.6394925700006</v>
      </c>
      <c r="D91" s="132">
        <f>IFERROR((C91/B91*100),0)</f>
        <v>0</v>
      </c>
      <c r="E91" s="132">
        <v>0</v>
      </c>
      <c r="F91" s="132">
        <f>IF($A91="","",'2'!N91)</f>
        <v>2521.7345307810001</v>
      </c>
      <c r="G91" s="132"/>
      <c r="H91" s="132">
        <f t="shared" si="9"/>
        <v>16.604479824062793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mensual'!IH91:IO91))</f>
        <v>3277.0138664850001</v>
      </c>
      <c r="D92" s="132">
        <f>IFERROR((C92/B92*100),0)</f>
        <v>698.7915002892687</v>
      </c>
      <c r="E92" s="132">
        <v>258.468960353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mensual'!IH92:IO92))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mensual'!IH93:IO93))</f>
        <v>1396.1826626163161</v>
      </c>
      <c r="D94" s="134">
        <f>IFERROR((C94/B94*100),0)</f>
        <v>-76.173952727754923</v>
      </c>
      <c r="E94" s="134">
        <v>-1300.8663772450002</v>
      </c>
      <c r="F94" s="134">
        <f>IF($A94="","",'2'!N94)</f>
        <v>5951.8518627447938</v>
      </c>
      <c r="G94" s="134">
        <f t="shared" si="7"/>
        <v>-457.52984063972349</v>
      </c>
      <c r="H94" s="134">
        <f t="shared" si="9"/>
        <v>326.29464053017091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mensual'!IH94:IO94))</f>
        <v>1396.1826626163161</v>
      </c>
      <c r="D95" s="132">
        <f>IFERROR((C95/B95*100),0)</f>
        <v>-76.173952727754923</v>
      </c>
      <c r="E95" s="132">
        <v>-1300.8663772450002</v>
      </c>
      <c r="F95" s="132">
        <f>IF($A95="","",'2'!N95)</f>
        <v>5951.8518627447938</v>
      </c>
      <c r="G95" s="132">
        <f t="shared" si="7"/>
        <v>-457.52984063972349</v>
      </c>
      <c r="H95" s="132">
        <f t="shared" si="9"/>
        <v>326.29464053017091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mensual'!HI95:IO95))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0</v>
      </c>
      <c r="F97" s="134">
        <f>IF($A97="","",'2'!N97)</f>
        <v>-2396.5510748697943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12" t="s">
        <v>190</v>
      </c>
      <c r="B99" s="213"/>
      <c r="C99" s="213"/>
      <c r="D99" s="213"/>
      <c r="E99" s="213"/>
      <c r="F99" s="213"/>
      <c r="G99" s="213"/>
      <c r="H99" s="213"/>
      <c r="I99" s="114"/>
    </row>
    <row r="100" spans="1:12" x14ac:dyDescent="0.2">
      <c r="A100" s="207" t="s">
        <v>191</v>
      </c>
      <c r="B100" s="208">
        <f>B35-B49-B52-B55-B67-B42</f>
        <v>43301.808580236007</v>
      </c>
      <c r="C100" s="208">
        <f>C35-C49-C52-C55-C67-C42</f>
        <v>24221.827294981002</v>
      </c>
      <c r="D100" s="132">
        <f>IFERROR((C100/B100*100),0)</f>
        <v>55.937218534646682</v>
      </c>
      <c r="E100" s="208">
        <f>E35-E49-E52-E55-E67-E42</f>
        <v>45527.696996243001</v>
      </c>
      <c r="F100" s="208">
        <f>F35-F49-F52-F55-F67-F42</f>
        <v>27012.301164044005</v>
      </c>
      <c r="G100" s="132">
        <f t="shared" ref="G100:G101" si="10">IFERROR((F100/E100*100),0)</f>
        <v>59.331578239666051</v>
      </c>
      <c r="H100" s="132">
        <f t="shared" ref="H100:H101" si="11">IF(C100&lt;&gt;0,F100/C100*100-100," ")</f>
        <v>11.520492798002977</v>
      </c>
      <c r="I100" s="114"/>
      <c r="J100" s="211"/>
    </row>
    <row r="101" spans="1:12" x14ac:dyDescent="0.2">
      <c r="A101" s="207" t="s">
        <v>92</v>
      </c>
      <c r="B101" s="208">
        <f>B79+B42</f>
        <v>-8345.429843450007</v>
      </c>
      <c r="C101" s="208">
        <f>C79+C42</f>
        <v>-1419.532500151</v>
      </c>
      <c r="D101" s="132">
        <f>IFERROR((C101/B101*100),0)</f>
        <v>17.009699042226497</v>
      </c>
      <c r="E101" s="208">
        <f>E79+E42</f>
        <v>-4383.6736903299943</v>
      </c>
      <c r="F101" s="208">
        <f>F79+F42</f>
        <v>1105.366004331001</v>
      </c>
      <c r="G101" s="132">
        <f t="shared" si="10"/>
        <v>-25.215517449880977</v>
      </c>
      <c r="H101" s="132">
        <f t="shared" si="11"/>
        <v>-177.86831257568389</v>
      </c>
      <c r="I101" s="114"/>
      <c r="J101" s="211"/>
    </row>
    <row r="102" spans="1:12" ht="9" customHeight="1" x14ac:dyDescent="0.2">
      <c r="A102" s="214"/>
      <c r="B102" s="215"/>
      <c r="C102" s="215"/>
      <c r="D102" s="216"/>
      <c r="E102" s="215"/>
      <c r="F102" s="215"/>
      <c r="G102" s="216"/>
      <c r="H102" s="216"/>
      <c r="I102" s="114"/>
      <c r="J102" s="211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hidden="1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99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4" customWidth="1"/>
    <col min="7" max="7" width="7.7109375" style="103" customWidth="1"/>
    <col min="8" max="9" width="8.5703125" style="103" customWidth="1"/>
    <col min="10" max="10" width="8.5703125" style="103" hidden="1" customWidth="1"/>
    <col min="11" max="11" width="10.28515625" style="103" hidden="1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8" style="103" customWidth="1"/>
    <col min="16" max="16" width="15.14062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6" t="s">
        <v>137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</row>
    <row r="3" spans="1:246" ht="18.75" customHeight="1" x14ac:dyDescent="0.25">
      <c r="A3" s="237" t="s">
        <v>138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6" t="s">
        <v>139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</row>
    <row r="6" spans="1:246" ht="18.75" x14ac:dyDescent="0.3">
      <c r="A6" s="236" t="s">
        <v>140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8" t="s">
        <v>141</v>
      </c>
      <c r="B8" s="234" t="s">
        <v>154</v>
      </c>
      <c r="C8" s="234" t="s">
        <v>155</v>
      </c>
      <c r="D8" s="234" t="s">
        <v>156</v>
      </c>
      <c r="E8" s="234" t="s">
        <v>157</v>
      </c>
      <c r="F8" s="234" t="s">
        <v>158</v>
      </c>
      <c r="G8" s="234" t="s">
        <v>159</v>
      </c>
      <c r="H8" s="234" t="s">
        <v>160</v>
      </c>
      <c r="I8" s="234" t="s">
        <v>161</v>
      </c>
      <c r="J8" s="234" t="s">
        <v>162</v>
      </c>
      <c r="K8" s="234" t="s">
        <v>163</v>
      </c>
      <c r="L8" s="234" t="s">
        <v>164</v>
      </c>
      <c r="M8" s="234" t="s">
        <v>165</v>
      </c>
      <c r="N8" s="234" t="s">
        <v>166</v>
      </c>
    </row>
    <row r="9" spans="1:246" s="3" customFormat="1" ht="23.25" customHeight="1" thickBot="1" x14ac:dyDescent="0.25">
      <c r="A9" s="239"/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5280.9667066130005</v>
      </c>
      <c r="F10" s="115">
        <f>IF($A10="","",'Situfin serie mensual'!IX2)</f>
        <v>5401.0182893279998</v>
      </c>
      <c r="G10" s="115">
        <f>IF($A10="","",'Situfin serie mensual'!IY2)</f>
        <v>4396.6861224169998</v>
      </c>
      <c r="H10" s="115">
        <f>IF($A10="","",'Situfin serie mensual'!IZ2)</f>
        <v>4743.8921766940002</v>
      </c>
      <c r="I10" s="115">
        <f>IF($A10="","",'Situfin serie mensual'!JA2)</f>
        <v>3528.8449399179999</v>
      </c>
      <c r="J10" s="115">
        <f>IF($A10="","",'Situfin serie mensual'!JB2)</f>
        <v>0</v>
      </c>
      <c r="K10" s="115">
        <f>IF($A10="","",'Situfin serie mensual'!JC2)</f>
        <v>0</v>
      </c>
      <c r="L10" s="115">
        <f>IF($A10="","",'Situfin serie mensual'!JD2)</f>
        <v>0</v>
      </c>
      <c r="M10" s="115">
        <f>IF($A10="","",'Situfin serie mensual'!JE2)</f>
        <v>0</v>
      </c>
      <c r="N10" s="115">
        <f>+SUM(B10:M10)</f>
        <v>33804.319605851997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4063.1005273820001</v>
      </c>
      <c r="F12" s="115">
        <f>IF($A12="","",'Situfin serie mensual'!IX4)</f>
        <v>4387.6120386270004</v>
      </c>
      <c r="G12" s="115">
        <f>IF($A12="","",'Situfin serie mensual'!IY4)</f>
        <v>2655.7522247849997</v>
      </c>
      <c r="H12" s="115">
        <f>IF($A12="","",'Situfin serie mensual'!IZ4)</f>
        <v>3659.0060726440001</v>
      </c>
      <c r="I12" s="115">
        <f>IF($A12="","",'Situfin serie mensual'!JA4)</f>
        <v>2638.0364757970001</v>
      </c>
      <c r="J12" s="115">
        <f>IF($A12="","",'Situfin serie mensual'!JB4)</f>
        <v>0</v>
      </c>
      <c r="K12" s="115">
        <f>IF($A12="","",'Situfin serie mensual'!JC4)</f>
        <v>0</v>
      </c>
      <c r="L12" s="115">
        <f>IF($A12="","",'Situfin serie mensual'!JD4)</f>
        <v>0</v>
      </c>
      <c r="M12" s="115">
        <f>IF($A12="","",'Situfin serie mensual'!JE4)</f>
        <v>0</v>
      </c>
      <c r="N12" s="115">
        <f>+SUM(B12:M12)</f>
        <v>25356.114285661002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259.91833523700001</v>
      </c>
      <c r="G14" s="115">
        <f>IF($A14="","",'Situfin serie mensual'!IY13)</f>
        <v>252.199702183</v>
      </c>
      <c r="H14" s="115">
        <f>IF($A14="","",'Situfin serie mensual'!IZ13)</f>
        <v>290.76578039700001</v>
      </c>
      <c r="I14" s="115">
        <f>IF($A14="","",'Situfin serie mensual'!JA13)</f>
        <v>261.51274837</v>
      </c>
      <c r="J14" s="115">
        <f>IF($A14="","",'Situfin serie mensual'!JB13)</f>
        <v>0</v>
      </c>
      <c r="K14" s="115">
        <f>IF($A14="","",'Situfin serie mensual'!JC13)</f>
        <v>0</v>
      </c>
      <c r="L14" s="115">
        <f>IF($A14="","",'Situfin serie mensual'!JD13)</f>
        <v>0</v>
      </c>
      <c r="M14" s="115">
        <f>IF($A14="","",'Situfin serie mensual'!JE13)</f>
        <v>0</v>
      </c>
      <c r="N14" s="115">
        <f>+SUM(B14:M14)</f>
        <v>2161.662799058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321.20730355900002</v>
      </c>
      <c r="F16" s="115">
        <f>IF($A16="","",'Situfin serie mensual'!IX15)</f>
        <v>155.119391001</v>
      </c>
      <c r="G16" s="115">
        <f>IF($A16="","",'Situfin serie mensual'!IY15)</f>
        <v>115.63039133999999</v>
      </c>
      <c r="H16" s="115">
        <f>IF($A16="","",'Situfin serie mensual'!IZ15)</f>
        <v>227.37097505699998</v>
      </c>
      <c r="I16" s="115">
        <f>IF($A16="","",'Situfin serie mensual'!JA15)</f>
        <v>143.03299199900002</v>
      </c>
      <c r="J16" s="115">
        <f>IF($A16="","",'Situfin serie mensual'!JB15)</f>
        <v>0</v>
      </c>
      <c r="K16" s="115">
        <f>IF($A16="","",'Situfin serie mensual'!JC15)</f>
        <v>0</v>
      </c>
      <c r="L16" s="115">
        <f>IF($A16="","",'Situfin serie mensual'!JD15)</f>
        <v>0</v>
      </c>
      <c r="M16" s="115">
        <f>IF($A16="","",'Situfin serie mensual'!JE15)</f>
        <v>0</v>
      </c>
      <c r="N16" s="115">
        <f t="shared" ref="N16:N33" si="0">+SUM(B16:M16)</f>
        <v>1220.5378546819998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9.2199513769999992</v>
      </c>
      <c r="I17" s="117">
        <f>IF($A17="","",'Situfin serie mensual'!JA16)</f>
        <v>8.6152360000000012</v>
      </c>
      <c r="J17" s="117">
        <f>IF($A17="","",'Situfin serie mensual'!JB16)</f>
        <v>0</v>
      </c>
      <c r="K17" s="117">
        <f>IF($A17="","",'Situfin serie mensual'!JC16)</f>
        <v>0</v>
      </c>
      <c r="L17" s="117">
        <f>IF($A17="","",'Situfin serie mensual'!JD16)</f>
        <v>0</v>
      </c>
      <c r="M17" s="117">
        <f>IF($A17="","",'Situfin serie mensual'!JE16)</f>
        <v>0</v>
      </c>
      <c r="N17" s="117">
        <f t="shared" si="0"/>
        <v>44.779382452</v>
      </c>
      <c r="P17" s="10"/>
    </row>
    <row r="18" spans="1:16" s="118" customFormat="1" ht="12.75" x14ac:dyDescent="0.2">
      <c r="A18" s="170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9.2199513769999992</v>
      </c>
      <c r="I19" s="117">
        <f>IF($A19="","",'Situfin serie mensual'!JA18)</f>
        <v>8.6152360000000012</v>
      </c>
      <c r="J19" s="117">
        <f>IF($A19="","",'Situfin serie mensual'!JB18)</f>
        <v>0</v>
      </c>
      <c r="K19" s="117">
        <f>IF($A19="","",'Situfin serie mensual'!JC18)</f>
        <v>0</v>
      </c>
      <c r="L19" s="117">
        <f>IF($A19="","",'Situfin serie mensual'!JD18)</f>
        <v>0</v>
      </c>
      <c r="M19" s="117">
        <f>IF($A19="","",'Situfin serie mensual'!JE18)</f>
        <v>0</v>
      </c>
      <c r="N19" s="117">
        <f t="shared" si="0"/>
        <v>44.779382452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0</v>
      </c>
      <c r="N20" s="117">
        <f t="shared" si="0"/>
        <v>152.51454167499998</v>
      </c>
      <c r="P20" s="10"/>
    </row>
    <row r="21" spans="1:16" s="118" customFormat="1" ht="12.75" x14ac:dyDescent="0.2">
      <c r="A21" s="170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0</v>
      </c>
      <c r="N22" s="117">
        <f t="shared" si="0"/>
        <v>152.51454167499998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168.69276188400002</v>
      </c>
      <c r="F23" s="117">
        <f>IF($A23="","",'Situfin serie mensual'!IX22)</f>
        <v>155.119391001</v>
      </c>
      <c r="G23" s="117">
        <f>IF($A23="","",'Situfin serie mensual'!IY22)</f>
        <v>115.63039133999999</v>
      </c>
      <c r="H23" s="117">
        <f>IF($A23="","",'Situfin serie mensual'!IZ22)</f>
        <v>218.15102367999998</v>
      </c>
      <c r="I23" s="117">
        <f>IF($A23="","",'Situfin serie mensual'!JA22)</f>
        <v>134.41775599900001</v>
      </c>
      <c r="J23" s="117">
        <f>IF($A23="","",'Situfin serie mensual'!JB22)</f>
        <v>0</v>
      </c>
      <c r="K23" s="117">
        <f>IF($A23="","",'Situfin serie mensual'!JC22)</f>
        <v>0</v>
      </c>
      <c r="L23" s="117">
        <f>IF($A23="","",'Situfin serie mensual'!JD22)</f>
        <v>0</v>
      </c>
      <c r="M23" s="117">
        <f>IF($A23="","",'Situfin serie mensual'!JE22)</f>
        <v>0</v>
      </c>
      <c r="N23" s="117">
        <f t="shared" si="0"/>
        <v>1023.2439305549999</v>
      </c>
      <c r="P23" s="10"/>
    </row>
    <row r="24" spans="1:16" s="118" customFormat="1" ht="12.75" x14ac:dyDescent="0.2">
      <c r="A24" s="170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168.69276188400002</v>
      </c>
      <c r="F24" s="117">
        <f>IF($A24="","",'Situfin serie mensual'!IX23)</f>
        <v>155.119391001</v>
      </c>
      <c r="G24" s="117">
        <f>IF($A24="","",'Situfin serie mensual'!IY23)</f>
        <v>115.63039133999999</v>
      </c>
      <c r="H24" s="117">
        <f>IF($A24="","",'Situfin serie mensual'!IZ23)</f>
        <v>218.15102367999998</v>
      </c>
      <c r="I24" s="117">
        <f>IF($A24="","",'Situfin serie mensual'!JA23)</f>
        <v>134.41775599900001</v>
      </c>
      <c r="J24" s="117">
        <f>IF($A24="","",'Situfin serie mensual'!JB23)</f>
        <v>0</v>
      </c>
      <c r="K24" s="117">
        <f>IF($A24="","",'Situfin serie mensual'!JC23)</f>
        <v>0</v>
      </c>
      <c r="L24" s="117">
        <f>IF($A24="","",'Situfin serie mensual'!JD23)</f>
        <v>0</v>
      </c>
      <c r="M24" s="117">
        <f>IF($A24="","",'Situfin serie mensual'!JE23)</f>
        <v>0</v>
      </c>
      <c r="N24" s="117">
        <f t="shared" si="0"/>
        <v>1023.2439305549999</v>
      </c>
      <c r="P24" s="10"/>
    </row>
    <row r="25" spans="1:16" s="118" customFormat="1" ht="12.75" x14ac:dyDescent="0.2">
      <c r="A25" s="170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638.06314163599995</v>
      </c>
      <c r="F26" s="115">
        <f>IF($A26="","",'Situfin serie mensual'!IX25)</f>
        <v>598.36852446299997</v>
      </c>
      <c r="G26" s="115">
        <f>IF($A26="","",'Situfin serie mensual'!IY25)</f>
        <v>1373.1038041090003</v>
      </c>
      <c r="H26" s="115">
        <f>IF($A26="","",'Situfin serie mensual'!IZ25)</f>
        <v>566.74934859599989</v>
      </c>
      <c r="I26" s="115">
        <f>IF($A26="","",'Situfin serie mensual'!JA25)</f>
        <v>486.262723752</v>
      </c>
      <c r="J26" s="115">
        <f>IF($A26="","",'Situfin serie mensual'!JB25)</f>
        <v>0</v>
      </c>
      <c r="K26" s="115">
        <f>IF($A26="","",'Situfin serie mensual'!JC25)</f>
        <v>0</v>
      </c>
      <c r="L26" s="115">
        <f>IF($A26="","",'Situfin serie mensual'!JD25)</f>
        <v>0</v>
      </c>
      <c r="M26" s="115">
        <f>IF($A26="","",'Situfin serie mensual'!JE25)</f>
        <v>0</v>
      </c>
      <c r="N26" s="115">
        <f t="shared" si="0"/>
        <v>5066.004666451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243.67858527300001</v>
      </c>
      <c r="F27" s="117">
        <f>IF($A27="","",'Situfin serie mensual'!IX26)</f>
        <v>174.11222708100001</v>
      </c>
      <c r="G27" s="117">
        <f>IF($A27="","",'Situfin serie mensual'!IY26)</f>
        <v>229.74617377100003</v>
      </c>
      <c r="H27" s="117">
        <f>IF($A27="","",'Situfin serie mensual'!IZ26)</f>
        <v>631.07370862599987</v>
      </c>
      <c r="I27" s="117">
        <f>IF($A27="","",'Situfin serie mensual'!JA26)</f>
        <v>184.175032469</v>
      </c>
      <c r="J27" s="117">
        <f>IF($A27="","",'Situfin serie mensual'!JB26)</f>
        <v>0</v>
      </c>
      <c r="K27" s="117">
        <f>IF($A27="","",'Situfin serie mensual'!JC26)</f>
        <v>0</v>
      </c>
      <c r="L27" s="117">
        <f>IF($A27="","",'Situfin serie mensual'!JD26)</f>
        <v>0</v>
      </c>
      <c r="M27" s="117">
        <f>IF($A27="","",'Situfin serie mensual'!JE26)</f>
        <v>0</v>
      </c>
      <c r="N27" s="117">
        <f t="shared" si="0"/>
        <v>2222.8807456499999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168.53982335500001</v>
      </c>
      <c r="G28" s="117">
        <f>IF($A28="","",'Situfin serie mensual'!IY27)</f>
        <v>162.734087905</v>
      </c>
      <c r="H28" s="117">
        <f>IF($A28="","",'Situfin serie mensual'!IZ27)</f>
        <v>579.475869708</v>
      </c>
      <c r="I28" s="117">
        <f>IF($A28="","",'Situfin serie mensual'!JA27)</f>
        <v>161.26296316400001</v>
      </c>
      <c r="J28" s="117">
        <f>IF($A28="","",'Situfin serie mensual'!JB27)</f>
        <v>0</v>
      </c>
      <c r="K28" s="117">
        <f>IF($A28="","",'Situfin serie mensual'!JC27)</f>
        <v>0</v>
      </c>
      <c r="L28" s="117">
        <f>IF($A28="","",'Situfin serie mensual'!JD27)</f>
        <v>0</v>
      </c>
      <c r="M28" s="117">
        <f>IF($A28="","",'Situfin serie mensual'!JE27)</f>
        <v>0</v>
      </c>
      <c r="N28" s="117">
        <f t="shared" si="0"/>
        <v>1802.2410734709999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65.103584609000009</v>
      </c>
      <c r="F29" s="117">
        <f>IF($A29="","",'Situfin serie mensual'!IX28)</f>
        <v>5.5724037259999895</v>
      </c>
      <c r="G29" s="117">
        <f>IF($A29="","",'Situfin serie mensual'!IY28)</f>
        <v>67.012085866000007</v>
      </c>
      <c r="H29" s="117">
        <f>IF($A29="","",'Situfin serie mensual'!IZ28)</f>
        <v>51.59783891799988</v>
      </c>
      <c r="I29" s="117">
        <f>IF($A29="","",'Situfin serie mensual'!JA28)</f>
        <v>22.912069305000013</v>
      </c>
      <c r="J29" s="117">
        <f>IF($A29="","",'Situfin serie mensual'!JB28)</f>
        <v>0</v>
      </c>
      <c r="K29" s="117">
        <f>IF($A29="","",'Situfin serie mensual'!JC28)</f>
        <v>0</v>
      </c>
      <c r="L29" s="117">
        <f>IF($A29="","",'Situfin serie mensual'!JD28)</f>
        <v>0</v>
      </c>
      <c r="M29" s="117">
        <f>IF($A29="","",'Situfin serie mensual'!JE28)</f>
        <v>0</v>
      </c>
      <c r="N29" s="117">
        <f t="shared" si="0"/>
        <v>420.63967217899989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310.51190464000001</v>
      </c>
      <c r="F30" s="117">
        <f>IF($A30="","",'Situfin serie mensual'!IX29)</f>
        <v>259.43339054299997</v>
      </c>
      <c r="G30" s="117">
        <f>IF($A30="","",'Situfin serie mensual'!IY29)</f>
        <v>1106.8359399480003</v>
      </c>
      <c r="H30" s="117">
        <f>IF($A30="","",'Situfin serie mensual'!IZ29)</f>
        <v>-146.12194007199994</v>
      </c>
      <c r="I30" s="117">
        <f>IF($A30="","",'Situfin serie mensual'!JA29)</f>
        <v>272.71140211099998</v>
      </c>
      <c r="J30" s="117">
        <f>IF($A30="","",'Situfin serie mensual'!JB29)</f>
        <v>0</v>
      </c>
      <c r="K30" s="117">
        <f>IF($A30="","",'Situfin serie mensual'!JC29)</f>
        <v>0</v>
      </c>
      <c r="L30" s="117">
        <f>IF($A30="","",'Situfin serie mensual'!JD29)</f>
        <v>0</v>
      </c>
      <c r="M30" s="117">
        <f>IF($A30="","",'Situfin serie mensual'!JE29)</f>
        <v>0</v>
      </c>
      <c r="N30" s="117">
        <f t="shared" si="0"/>
        <v>2408.8455610890005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55.440421448000002</v>
      </c>
      <c r="F31" s="117">
        <f>IF($A31="","",'Situfin serie mensual'!IX30)</f>
        <v>107.164288677</v>
      </c>
      <c r="G31" s="117">
        <f>IF($A31="","",'Situfin serie mensual'!IY30)</f>
        <v>975.26797809700008</v>
      </c>
      <c r="H31" s="117">
        <f>IF($A31="","",'Situfin serie mensual'!IZ30)</f>
        <v>-204.16688616400003</v>
      </c>
      <c r="I31" s="117">
        <f>IF($A31="","",'Situfin serie mensual'!JA30)</f>
        <v>149.34711538799999</v>
      </c>
      <c r="J31" s="117">
        <f>IF($A31="","",'Situfin serie mensual'!JB30)</f>
        <v>0</v>
      </c>
      <c r="K31" s="117">
        <f>IF($A31="","",'Situfin serie mensual'!JC30)</f>
        <v>0</v>
      </c>
      <c r="L31" s="117">
        <f>IF($A31="","",'Situfin serie mensual'!JD30)</f>
        <v>0</v>
      </c>
      <c r="M31" s="117">
        <f>IF($A31="","",'Situfin serie mensual'!JE30)</f>
        <v>0</v>
      </c>
      <c r="N31" s="117">
        <f t="shared" si="0"/>
        <v>1347.553825859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255.07148319200002</v>
      </c>
      <c r="F32" s="117">
        <f>IF($A32="","",'Situfin serie mensual'!IX31)</f>
        <v>152.269101866</v>
      </c>
      <c r="G32" s="117">
        <f>IF($A32="","",'Situfin serie mensual'!IY31)</f>
        <v>131.56796185100001</v>
      </c>
      <c r="H32" s="117">
        <f>IF($A32="","",'Situfin serie mensual'!IZ31)</f>
        <v>58.044946092000025</v>
      </c>
      <c r="I32" s="117">
        <f>IF($A32="","",'Situfin serie mensual'!JA31)</f>
        <v>123.36428672300002</v>
      </c>
      <c r="J32" s="117">
        <f>IF($A32="","",'Situfin serie mensual'!JB31)</f>
        <v>0</v>
      </c>
      <c r="K32" s="117">
        <f>IF($A32="","",'Situfin serie mensual'!JC31)</f>
        <v>0</v>
      </c>
      <c r="L32" s="117">
        <f>IF($A32="","",'Situfin serie mensual'!JD31)</f>
        <v>0</v>
      </c>
      <c r="M32" s="117">
        <f>IF($A32="","",'Situfin serie mensual'!JE31)</f>
        <v>0</v>
      </c>
      <c r="N32" s="117">
        <f t="shared" si="0"/>
        <v>1061.2917352300001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83.872651723000004</v>
      </c>
      <c r="F33" s="117">
        <f>IF($A33="","",'Situfin serie mensual'!IX32)</f>
        <v>164.82290683899998</v>
      </c>
      <c r="G33" s="117">
        <f>IF($A33="","",'Situfin serie mensual'!IY32)</f>
        <v>36.521690390000003</v>
      </c>
      <c r="H33" s="117">
        <f>IF($A33="","",'Situfin serie mensual'!IZ32)</f>
        <v>81.797580041999993</v>
      </c>
      <c r="I33" s="117">
        <f>IF($A33="","",'Situfin serie mensual'!JA32)</f>
        <v>29.376289172</v>
      </c>
      <c r="J33" s="117">
        <f>IF($A33="","",'Situfin serie mensual'!JB32)</f>
        <v>0</v>
      </c>
      <c r="K33" s="117">
        <f>IF($A33="","",'Situfin serie mensual'!JC32)</f>
        <v>0</v>
      </c>
      <c r="L33" s="117">
        <f>IF($A33="","",'Situfin serie mensual'!JD32)</f>
        <v>0</v>
      </c>
      <c r="M33" s="117">
        <f>IF($A33="","",'Situfin serie mensual'!JE32)</f>
        <v>0</v>
      </c>
      <c r="N33" s="117">
        <f t="shared" si="0"/>
        <v>434.278359712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4256.0327050629994</v>
      </c>
      <c r="G35" s="121">
        <f>IF($A35="","",'Situfin serie mensual'!IY34)</f>
        <v>3945.7820394109999</v>
      </c>
      <c r="H35" s="121">
        <f>IF($A35="","",'Situfin serie mensual'!IZ34)</f>
        <v>4471.1842986419997</v>
      </c>
      <c r="I35" s="121">
        <f>IF($A35="","",'Situfin serie mensual'!JA34)</f>
        <v>4343.7812523980001</v>
      </c>
      <c r="J35" s="121">
        <f>IF($A35="","",'Situfin serie mensual'!JB34)</f>
        <v>0</v>
      </c>
      <c r="K35" s="121">
        <f>IF($A35="","",'Situfin serie mensual'!JC34)</f>
        <v>0</v>
      </c>
      <c r="L35" s="224">
        <f>IF($A35="","",'Situfin serie mensual'!JD34)</f>
        <v>0</v>
      </c>
      <c r="M35" s="121">
        <f>IF($A35="","",'Situfin serie mensual'!JE34)</f>
        <v>0</v>
      </c>
      <c r="N35" s="121">
        <f t="shared" ref="N35:N70" si="1">+SUM(B35:M35)</f>
        <v>32916.082647316005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1690.3028769899997</v>
      </c>
      <c r="G36" s="115">
        <f>IF($A36="","",'Situfin serie mensual'!IY35)</f>
        <v>1691.5468035640001</v>
      </c>
      <c r="H36" s="115">
        <f>IF($A36="","",'Situfin serie mensual'!IZ35)</f>
        <v>1706.1111985140001</v>
      </c>
      <c r="I36" s="115">
        <f>IF($A36="","",'Situfin serie mensual'!JA35)</f>
        <v>1707.8355563340003</v>
      </c>
      <c r="J36" s="115">
        <f>IF($A36="","",'Situfin serie mensual'!JB35)</f>
        <v>0</v>
      </c>
      <c r="K36" s="115">
        <f>IF($A36="","",'Situfin serie mensual'!JC35)</f>
        <v>0</v>
      </c>
      <c r="L36" s="115">
        <f>IF($A36="","",'Situfin serie mensual'!JD35)</f>
        <v>0</v>
      </c>
      <c r="M36" s="115">
        <f>IF($A36="","",'Situfin serie mensual'!JE35)</f>
        <v>0</v>
      </c>
      <c r="N36" s="123">
        <f t="shared" si="1"/>
        <v>13410.609495988001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450.68079886999999</v>
      </c>
      <c r="G37" s="115">
        <f>IF($A37="","",'Situfin serie mensual'!IY36)</f>
        <v>568.08199191200003</v>
      </c>
      <c r="H37" s="115">
        <f>IF($A37="","",'Situfin serie mensual'!IZ36)</f>
        <v>725.03368756300017</v>
      </c>
      <c r="I37" s="115">
        <f>IF($A37="","",'Situfin serie mensual'!JA36)</f>
        <v>557.12618810099991</v>
      </c>
      <c r="J37" s="115">
        <f>IF($A37="","",'Situfin serie mensual'!JB36)</f>
        <v>0</v>
      </c>
      <c r="K37" s="115">
        <f>IF($A37="","",'Situfin serie mensual'!JC36)</f>
        <v>0</v>
      </c>
      <c r="L37" s="115">
        <f>IF($A37="","",'Situfin serie mensual'!JD36)</f>
        <v>0</v>
      </c>
      <c r="M37" s="115">
        <f>IF($A37="","",'Situfin serie mensual'!JE36)</f>
        <v>0</v>
      </c>
      <c r="N37" s="115">
        <f t="shared" si="1"/>
        <v>4577.4929397730002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157.41184339600002</v>
      </c>
      <c r="G38" s="117">
        <f>IF($A38="","",'Situfin serie mensual'!IY37)</f>
        <v>157.09179426199998</v>
      </c>
      <c r="H38" s="117">
        <f>IF($A38="","",'Situfin serie mensual'!IZ37)</f>
        <v>177.784648624</v>
      </c>
      <c r="I38" s="117">
        <f>IF($A38="","",'Situfin serie mensual'!JA37)</f>
        <v>128.96081648399999</v>
      </c>
      <c r="J38" s="117">
        <f>IF($A38="","",'Situfin serie mensual'!JB37)</f>
        <v>0</v>
      </c>
      <c r="K38" s="117">
        <f>IF($A38="","",'Situfin serie mensual'!JC37)</f>
        <v>0</v>
      </c>
      <c r="L38" s="117">
        <f>IF($A38="","",'Situfin serie mensual'!JD37)</f>
        <v>0</v>
      </c>
      <c r="M38" s="117">
        <f>IF($A38="","",'Situfin serie mensual'!JE37)</f>
        <v>0</v>
      </c>
      <c r="N38" s="117">
        <f t="shared" si="1"/>
        <v>1131.299998043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277.962228122</v>
      </c>
      <c r="G39" s="117">
        <f>IF($A39="","",'Situfin serie mensual'!IY38)</f>
        <v>394.06017859399998</v>
      </c>
      <c r="H39" s="117">
        <f>IF($A39="","",'Situfin serie mensual'!IZ38)</f>
        <v>528.53461606700012</v>
      </c>
      <c r="I39" s="117">
        <f>IF($A39="","",'Situfin serie mensual'!JA38)</f>
        <v>428.10862439899995</v>
      </c>
      <c r="J39" s="117">
        <f>IF($A39="","",'Situfin serie mensual'!JB38)</f>
        <v>0</v>
      </c>
      <c r="K39" s="117">
        <f>IF($A39="","",'Situfin serie mensual'!JC38)</f>
        <v>0</v>
      </c>
      <c r="L39" s="117">
        <f>IF($A39="","",'Situfin serie mensual'!JD38)</f>
        <v>0</v>
      </c>
      <c r="M39" s="117">
        <f>IF($A39="","",'Situfin serie mensual'!JE38)</f>
        <v>0</v>
      </c>
      <c r="N39" s="117">
        <f t="shared" si="1"/>
        <v>3267.9625527829999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15.274920249000001</v>
      </c>
      <c r="G40" s="117">
        <f>IF($A40="","",'Situfin serie mensual'!IY39)</f>
        <v>16.930019056000003</v>
      </c>
      <c r="H40" s="117">
        <f>IF($A40="","",'Situfin serie mensual'!IZ39)</f>
        <v>18.711742499</v>
      </c>
      <c r="I40" s="117">
        <f>IF($A40="","",'Situfin serie mensual'!JA39)</f>
        <v>6.3784499999999995E-4</v>
      </c>
      <c r="J40" s="117">
        <f>IF($A40="","",'Situfin serie mensual'!JB39)</f>
        <v>0</v>
      </c>
      <c r="K40" s="117">
        <f>IF($A40="","",'Situfin serie mensual'!JC39)</f>
        <v>0</v>
      </c>
      <c r="L40" s="117">
        <f>IF($A40="","",'Situfin serie mensual'!JD39)</f>
        <v>0</v>
      </c>
      <c r="M40" s="117">
        <f>IF($A40="","",'Situfin serie mensual'!JE39)</f>
        <v>0</v>
      </c>
      <c r="N40" s="117">
        <f t="shared" si="1"/>
        <v>62.237080516999995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3.1807102999999184E-2</v>
      </c>
      <c r="G41" s="117">
        <f>IF($A41="","",'Situfin serie mensual'!IY40)</f>
        <v>0</v>
      </c>
      <c r="H41" s="117">
        <f>IF($A41="","",'Situfin serie mensual'!IZ40)</f>
        <v>2.6803729999810458E-3</v>
      </c>
      <c r="I41" s="117">
        <f>IF($A41="","",'Situfin serie mensual'!JA40)</f>
        <v>5.6109372999984773E-2</v>
      </c>
      <c r="J41" s="117">
        <f>IF($A41="","",'Situfin serie mensual'!JB40)</f>
        <v>0</v>
      </c>
      <c r="K41" s="117">
        <f>IF($A41="","",'Situfin serie mensual'!JC40)</f>
        <v>0</v>
      </c>
      <c r="L41" s="117">
        <f>IF($A41="","",'Situfin serie mensual'!JD40)</f>
        <v>0</v>
      </c>
      <c r="M41" s="117">
        <f>IF($A41="","",'Situfin serie mensual'!JE40)</f>
        <v>0</v>
      </c>
      <c r="N41" s="117">
        <f t="shared" si="1"/>
        <v>115.99330843000013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692.53967024899998</v>
      </c>
      <c r="G42" s="115">
        <f>IF($A42="","",'Situfin serie mensual'!IY41)</f>
        <v>323.50525333399997</v>
      </c>
      <c r="H42" s="115">
        <f>IF($A42="","",'Situfin serie mensual'!IZ41)</f>
        <v>240.085125874</v>
      </c>
      <c r="I42" s="115">
        <f>IF($A42="","",'Situfin serie mensual'!JA41)</f>
        <v>679.79433824400007</v>
      </c>
      <c r="J42" s="115">
        <f>IF($A42="","",'Situfin serie mensual'!JB41)</f>
        <v>0</v>
      </c>
      <c r="K42" s="115">
        <f>IF($A42="","",'Situfin serie mensual'!JC41)</f>
        <v>0</v>
      </c>
      <c r="L42" s="115">
        <f>IF($A42="","",'Situfin serie mensual'!JD41)</f>
        <v>0</v>
      </c>
      <c r="M42" s="115">
        <f>IF($A42="","",'Situfin serie mensual'!JE41)</f>
        <v>0</v>
      </c>
      <c r="N42" s="115">
        <f t="shared" si="1"/>
        <v>3919.8443084259998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670.49544323099997</v>
      </c>
      <c r="G43" s="117">
        <f>IF($A43="","",'Situfin serie mensual'!IY42)</f>
        <v>286.46463208399996</v>
      </c>
      <c r="H43" s="117">
        <f>IF($A43="","",'Situfin serie mensual'!IZ42)</f>
        <v>240.085125874</v>
      </c>
      <c r="I43" s="117">
        <f>IF($A43="","",'Situfin serie mensual'!JA42)</f>
        <v>487.09394343700001</v>
      </c>
      <c r="J43" s="117">
        <f>IF($A43="","",'Situfin serie mensual'!JB42)</f>
        <v>0</v>
      </c>
      <c r="K43" s="117">
        <f>IF($A43="","",'Situfin serie mensual'!JC42)</f>
        <v>0</v>
      </c>
      <c r="L43" s="117">
        <f>IF($A43="","",'Situfin serie mensual'!JD42)</f>
        <v>0</v>
      </c>
      <c r="M43" s="117">
        <f>IF($A43="","",'Situfin serie mensual'!JE42)</f>
        <v>0</v>
      </c>
      <c r="N43" s="117">
        <f t="shared" si="1"/>
        <v>3453.0449106349997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22.044227018000001</v>
      </c>
      <c r="G44" s="117">
        <f>IF($A44="","",'Situfin serie mensual'!IY43)</f>
        <v>37.040621249999994</v>
      </c>
      <c r="H44" s="117">
        <f>IF($A44="","",'Situfin serie mensual'!IZ43)</f>
        <v>0</v>
      </c>
      <c r="I44" s="117">
        <f>IF($A44="","",'Situfin serie mensual'!JA43)</f>
        <v>192.70039480700001</v>
      </c>
      <c r="J44" s="117">
        <f>IF($A44="","",'Situfin serie mensual'!JB43)</f>
        <v>0</v>
      </c>
      <c r="K44" s="117">
        <f>IF($A44="","",'Situfin serie mensual'!JC43)</f>
        <v>0</v>
      </c>
      <c r="L44" s="117">
        <f>IF($A44="","",'Situfin serie mensual'!JD43)</f>
        <v>0</v>
      </c>
      <c r="M44" s="117">
        <f>IF($A44="","",'Situfin serie mensual'!JE43)</f>
        <v>0</v>
      </c>
      <c r="N44" s="117">
        <f t="shared" si="1"/>
        <v>466.79939779100005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412.23324842499994</v>
      </c>
      <c r="G46" s="115">
        <f>IF($A46="","",'Situfin serie mensual'!IY45)</f>
        <v>425.65938595200004</v>
      </c>
      <c r="H46" s="115">
        <f>IF($A46="","",'Situfin serie mensual'!IZ45)</f>
        <v>870.29515321299994</v>
      </c>
      <c r="I46" s="115">
        <f>IF($A46="","",'Situfin serie mensual'!JA45)</f>
        <v>469.895018376</v>
      </c>
      <c r="J46" s="115">
        <f>IF($A46="","",'Situfin serie mensual'!JB45)</f>
        <v>0</v>
      </c>
      <c r="K46" s="115">
        <f>IF($A46="","",'Situfin serie mensual'!JC45)</f>
        <v>0</v>
      </c>
      <c r="L46" s="115">
        <f>IF($A46="","",'Situfin serie mensual'!JD45)</f>
        <v>0</v>
      </c>
      <c r="M46" s="115">
        <f>IF($A46="","",'Situfin serie mensual'!JE45)</f>
        <v>0</v>
      </c>
      <c r="N46" s="115">
        <f t="shared" si="1"/>
        <v>3804.5273532779997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15.717472501</v>
      </c>
      <c r="G50" s="117">
        <f>IF($A50="","",'Situfin serie mensual'!IY49)</f>
        <v>1.5524617490000001</v>
      </c>
      <c r="H50" s="117">
        <f>IF($A50="","",'Situfin serie mensual'!IZ49)</f>
        <v>6.3208455700000004</v>
      </c>
      <c r="I50" s="117">
        <f>IF($A50="","",'Situfin serie mensual'!JA49)</f>
        <v>0.71384452300000001</v>
      </c>
      <c r="J50" s="117">
        <f>IF($A50="","",'Situfin serie mensual'!JB49)</f>
        <v>0</v>
      </c>
      <c r="K50" s="117">
        <f>IF($A50="","",'Situfin serie mensual'!JC49)</f>
        <v>0</v>
      </c>
      <c r="L50" s="117">
        <f>IF($A50="","",'Situfin serie mensual'!JD49)</f>
        <v>0</v>
      </c>
      <c r="M50" s="117">
        <f>IF($A50="","",'Situfin serie mensual'!JE49)</f>
        <v>0</v>
      </c>
      <c r="N50" s="117">
        <f t="shared" si="1"/>
        <v>35.671974030999998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15.717472501</v>
      </c>
      <c r="G51" s="117">
        <f>IF($A51="","",'Situfin serie mensual'!IY50)</f>
        <v>1.5524617490000001</v>
      </c>
      <c r="H51" s="117">
        <f>IF($A51="","",'Situfin serie mensual'!IZ50)</f>
        <v>6.3208455700000004</v>
      </c>
      <c r="I51" s="117">
        <f>IF($A51="","",'Situfin serie mensual'!JA50)</f>
        <v>0.71384452300000001</v>
      </c>
      <c r="J51" s="117">
        <f>IF($A51="","",'Situfin serie mensual'!JB50)</f>
        <v>0</v>
      </c>
      <c r="K51" s="117">
        <f>IF($A51="","",'Situfin serie mensual'!JC50)</f>
        <v>0</v>
      </c>
      <c r="L51" s="117">
        <f>IF($A51="","",'Situfin serie mensual'!JD50)</f>
        <v>0</v>
      </c>
      <c r="M51" s="117">
        <f>IF($A51="","",'Situfin serie mensual'!JE50)</f>
        <v>0</v>
      </c>
      <c r="N51" s="117">
        <f t="shared" si="1"/>
        <v>35.671974030999998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396.51577592399997</v>
      </c>
      <c r="G53" s="117">
        <f>IF($A53="","",'Situfin serie mensual'!IY52)</f>
        <v>424.10692420300006</v>
      </c>
      <c r="H53" s="117">
        <f>IF($A53="","",'Situfin serie mensual'!IZ52)</f>
        <v>863.97430764299997</v>
      </c>
      <c r="I53" s="117">
        <f>IF($A53="","",'Situfin serie mensual'!JA52)</f>
        <v>469.18117385300002</v>
      </c>
      <c r="J53" s="117">
        <f>IF($A53="","",'Situfin serie mensual'!JB52)</f>
        <v>0</v>
      </c>
      <c r="K53" s="117">
        <f>IF($A53="","",'Situfin serie mensual'!JC52)</f>
        <v>0</v>
      </c>
      <c r="L53" s="117">
        <f>IF($A53="","",'Situfin serie mensual'!JD52)</f>
        <v>0</v>
      </c>
      <c r="M53" s="117">
        <f>IF($A53="","",'Situfin serie mensual'!JE52)</f>
        <v>0</v>
      </c>
      <c r="N53" s="117">
        <f t="shared" si="1"/>
        <v>3768.8553792470002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299.83299377099996</v>
      </c>
      <c r="G54" s="117">
        <f>IF($A54="","",'Situfin serie mensual'!IY53)</f>
        <v>290.89957685900004</v>
      </c>
      <c r="H54" s="117">
        <f>IF($A54="","",'Situfin serie mensual'!IZ53)</f>
        <v>418.64382420099997</v>
      </c>
      <c r="I54" s="117">
        <f>IF($A54="","",'Situfin serie mensual'!JA53)</f>
        <v>336.096041415</v>
      </c>
      <c r="J54" s="117">
        <f>IF($A54="","",'Situfin serie mensual'!JB53)</f>
        <v>0</v>
      </c>
      <c r="K54" s="117">
        <f>IF($A54="","",'Situfin serie mensual'!JC53)</f>
        <v>0</v>
      </c>
      <c r="L54" s="117">
        <f>IF($A54="","",'Situfin serie mensual'!JD53)</f>
        <v>0</v>
      </c>
      <c r="M54" s="117">
        <f>IF($A54="","",'Situfin serie mensual'!JE53)</f>
        <v>0</v>
      </c>
      <c r="N54" s="117">
        <f t="shared" si="1"/>
        <v>2481.2129265359999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96.682782152999991</v>
      </c>
      <c r="G55" s="117">
        <f>IF($A55="","",'Situfin serie mensual'!IY54)</f>
        <v>133.207347344</v>
      </c>
      <c r="H55" s="117">
        <f>IF($A55="","",'Situfin serie mensual'!IZ54)</f>
        <v>445.330483442</v>
      </c>
      <c r="I55" s="117">
        <f>IF($A55="","",'Situfin serie mensual'!JA54)</f>
        <v>133.08513243799999</v>
      </c>
      <c r="J55" s="117">
        <f>IF($A55="","",'Situfin serie mensual'!JB54)</f>
        <v>0</v>
      </c>
      <c r="K55" s="117">
        <f>IF($A55="","",'Situfin serie mensual'!JC54)</f>
        <v>0</v>
      </c>
      <c r="L55" s="117">
        <f>IF($A55="","",'Situfin serie mensual'!JD54)</f>
        <v>0</v>
      </c>
      <c r="M55" s="117">
        <f>IF($A55="","",'Situfin serie mensual'!JE54)</f>
        <v>0</v>
      </c>
      <c r="N55" s="117">
        <f t="shared" si="1"/>
        <v>1287.642452711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740.19488153200007</v>
      </c>
      <c r="G56" s="115">
        <f>IF($A56="","",'Situfin serie mensual'!IY55)</f>
        <v>744.65206402299998</v>
      </c>
      <c r="H56" s="115">
        <f>IF($A56="","",'Situfin serie mensual'!IZ55)</f>
        <v>749.37541258599992</v>
      </c>
      <c r="I56" s="115">
        <f>IF($A56="","",'Situfin serie mensual'!JA55)</f>
        <v>743.09611486999995</v>
      </c>
      <c r="J56" s="115">
        <f>IF($A56="","",'Situfin serie mensual'!JB55)</f>
        <v>0</v>
      </c>
      <c r="K56" s="115">
        <f>IF($A56="","",'Situfin serie mensual'!JC55)</f>
        <v>0</v>
      </c>
      <c r="L56" s="115">
        <f>IF($A56="","",'Situfin serie mensual'!JD55)</f>
        <v>0</v>
      </c>
      <c r="M56" s="115">
        <f>IF($A56="","",'Situfin serie mensual'!JE55)</f>
        <v>0</v>
      </c>
      <c r="N56" s="115">
        <f t="shared" si="1"/>
        <v>5920.8174765229987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431.94042629299997</v>
      </c>
      <c r="G57" s="117">
        <f>IF($A57="","",'Situfin serie mensual'!IY56)</f>
        <v>426.96554845999998</v>
      </c>
      <c r="H57" s="117">
        <f>IF($A57="","",'Situfin serie mensual'!IZ56)</f>
        <v>445.96629593199998</v>
      </c>
      <c r="I57" s="117">
        <f>IF($A57="","",'Situfin serie mensual'!JA56)</f>
        <v>449.09443202099993</v>
      </c>
      <c r="J57" s="117">
        <f>IF($A57="","",'Situfin serie mensual'!JB56)</f>
        <v>0</v>
      </c>
      <c r="K57" s="117">
        <f>IF($A57="","",'Situfin serie mensual'!JC56)</f>
        <v>0</v>
      </c>
      <c r="L57" s="117">
        <f>IF($A57="","",'Situfin serie mensual'!JD56)</f>
        <v>0</v>
      </c>
      <c r="M57" s="117">
        <f>IF($A57="","",'Situfin serie mensual'!JE56)</f>
        <v>0</v>
      </c>
      <c r="N57" s="117">
        <f t="shared" si="1"/>
        <v>3491.3479689759997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281.50389901900002</v>
      </c>
      <c r="G58" s="117">
        <f>IF($A58="","",'Situfin serie mensual'!IY57)</f>
        <v>293.55045695999996</v>
      </c>
      <c r="H58" s="117">
        <f>IF($A58="","",'Situfin serie mensual'!IZ57)</f>
        <v>277.41823741799999</v>
      </c>
      <c r="I58" s="117">
        <f>IF($A58="","",'Situfin serie mensual'!JA57)</f>
        <v>270.03846093800001</v>
      </c>
      <c r="J58" s="117">
        <f>IF($A58="","",'Situfin serie mensual'!JB57)</f>
        <v>0</v>
      </c>
      <c r="K58" s="117">
        <f>IF($A58="","",'Situfin serie mensual'!JC57)</f>
        <v>0</v>
      </c>
      <c r="L58" s="117">
        <f>IF($A58="","",'Situfin serie mensual'!JD57)</f>
        <v>0</v>
      </c>
      <c r="M58" s="117">
        <f>IF($A58="","",'Situfin serie mensual'!JE57)</f>
        <v>0</v>
      </c>
      <c r="N58" s="117">
        <f t="shared" si="1"/>
        <v>2208.5647749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26.75055622</v>
      </c>
      <c r="G59" s="117">
        <f>IF($A59="","",'Situfin serie mensual'!IY58)</f>
        <v>24.136058603000002</v>
      </c>
      <c r="H59" s="117">
        <f>IF($A59="","",'Situfin serie mensual'!IZ58)</f>
        <v>25.990879236000001</v>
      </c>
      <c r="I59" s="117">
        <f>IF($A59="","",'Situfin serie mensual'!JA58)</f>
        <v>23.963221911000002</v>
      </c>
      <c r="J59" s="117">
        <f>IF($A59="","",'Situfin serie mensual'!JB58)</f>
        <v>0</v>
      </c>
      <c r="K59" s="117">
        <f>IF($A59="","",'Situfin serie mensual'!JC58)</f>
        <v>0</v>
      </c>
      <c r="L59" s="117">
        <f>IF($A59="","",'Situfin serie mensual'!JD58)</f>
        <v>0</v>
      </c>
      <c r="M59" s="117">
        <f>IF($A59="","",'Situfin serie mensual'!JE58)</f>
        <v>0</v>
      </c>
      <c r="N59" s="117">
        <f t="shared" si="1"/>
        <v>220.90473264700003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270.08122899700004</v>
      </c>
      <c r="G60" s="115">
        <f>IF($A60="","",'Situfin serie mensual'!IY59)</f>
        <v>192.33654062599999</v>
      </c>
      <c r="H60" s="115">
        <f>IF($A60="","",'Situfin serie mensual'!IZ59)</f>
        <v>180.28372089200002</v>
      </c>
      <c r="I60" s="115">
        <f>IF($A60="","",'Situfin serie mensual'!JA59)</f>
        <v>186.03403647300001</v>
      </c>
      <c r="J60" s="115">
        <f>IF($A60="","",'Situfin serie mensual'!JB59)</f>
        <v>0</v>
      </c>
      <c r="K60" s="115">
        <f>IF($A60="","",'Situfin serie mensual'!JC59)</f>
        <v>0</v>
      </c>
      <c r="L60" s="115">
        <f>IF($A60="","",'Situfin serie mensual'!JD59)</f>
        <v>0</v>
      </c>
      <c r="M60" s="115">
        <f>IF($A60="","",'Situfin serie mensual'!JE59)</f>
        <v>0</v>
      </c>
      <c r="N60" s="115">
        <f t="shared" si="1"/>
        <v>1282.791073328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129.05403566500001</v>
      </c>
      <c r="G61" s="117">
        <f>IF($A61="","",'Situfin serie mensual'!IY60)</f>
        <v>69.665342180999986</v>
      </c>
      <c r="H61" s="117">
        <f>IF($A61="","",'Situfin serie mensual'!IZ60)</f>
        <v>117.82658553100001</v>
      </c>
      <c r="I61" s="117">
        <f>IF($A61="","",'Situfin serie mensual'!JA60)</f>
        <v>110.63926989300001</v>
      </c>
      <c r="J61" s="117">
        <f>IF($A61="","",'Situfin serie mensual'!JB60)</f>
        <v>0</v>
      </c>
      <c r="K61" s="117">
        <f>IF($A61="","",'Situfin serie mensual'!JC60)</f>
        <v>0</v>
      </c>
      <c r="L61" s="117">
        <f>IF($A61="","",'Situfin serie mensual'!JD60)</f>
        <v>0</v>
      </c>
      <c r="M61" s="117">
        <f>IF($A61="","",'Situfin serie mensual'!JE60)</f>
        <v>0</v>
      </c>
      <c r="N61" s="117">
        <f t="shared" si="1"/>
        <v>586.49635119300001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20.842849130999998</v>
      </c>
      <c r="G62" s="117">
        <f>IF($A62="","",'Situfin serie mensual'!IY61)</f>
        <v>31.968753273999997</v>
      </c>
      <c r="H62" s="117">
        <f>IF($A62="","",'Situfin serie mensual'!IZ61)</f>
        <v>36.931859482</v>
      </c>
      <c r="I62" s="117">
        <f>IF($A62="","",'Situfin serie mensual'!JA61)</f>
        <v>8.6597728509999996</v>
      </c>
      <c r="J62" s="117">
        <f>IF($A62="","",'Situfin serie mensual'!JB61)</f>
        <v>0</v>
      </c>
      <c r="K62" s="117">
        <f>IF($A62="","",'Situfin serie mensual'!JC61)</f>
        <v>0</v>
      </c>
      <c r="L62" s="117">
        <f>IF($A62="","",'Situfin serie mensual'!JD61)</f>
        <v>0</v>
      </c>
      <c r="M62" s="117">
        <f>IF($A62="","",'Situfin serie mensual'!JE61)</f>
        <v>0</v>
      </c>
      <c r="N62" s="117">
        <f t="shared" si="1"/>
        <v>123.56817166999998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31.992113463999999</v>
      </c>
      <c r="G63" s="117">
        <f>IF($A63="","",'Situfin serie mensual'!IY62)</f>
        <v>11.433426416999998</v>
      </c>
      <c r="H63" s="117">
        <f>IF($A63="","",'Situfin serie mensual'!IZ62)</f>
        <v>29.400120528999999</v>
      </c>
      <c r="I63" s="117">
        <f>IF($A63="","",'Situfin serie mensual'!JA62)</f>
        <v>33.653365161000004</v>
      </c>
      <c r="J63" s="117">
        <f>IF($A63="","",'Situfin serie mensual'!JB62)</f>
        <v>0</v>
      </c>
      <c r="K63" s="117">
        <f>IF($A63="","",'Situfin serie mensual'!JC62)</f>
        <v>0</v>
      </c>
      <c r="L63" s="117">
        <f>IF($A63="","",'Situfin serie mensual'!JD62)</f>
        <v>0</v>
      </c>
      <c r="M63" s="117">
        <f>IF($A63="","",'Situfin serie mensual'!JE62)</f>
        <v>0</v>
      </c>
      <c r="N63" s="117">
        <f t="shared" si="1"/>
        <v>147.46325439099999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2.8170425000000012</v>
      </c>
      <c r="G64" s="117">
        <f>IF($A64="","",'Situfin serie mensual'!IY63)</f>
        <v>0.05</v>
      </c>
      <c r="H64" s="117">
        <f>IF($A64="","",'Situfin serie mensual'!IZ63)</f>
        <v>3.0372508649999999</v>
      </c>
      <c r="I64" s="117">
        <f>IF($A64="","",'Situfin serie mensual'!JA63)</f>
        <v>0.42238947999999998</v>
      </c>
      <c r="J64" s="117">
        <f>IF($A64="","",'Situfin serie mensual'!JB63)</f>
        <v>0</v>
      </c>
      <c r="K64" s="117">
        <f>IF($A64="","",'Situfin serie mensual'!JC63)</f>
        <v>0</v>
      </c>
      <c r="L64" s="117">
        <f>IF($A64="","",'Situfin serie mensual'!JD63)</f>
        <v>0</v>
      </c>
      <c r="M64" s="117">
        <f>IF($A64="","",'Situfin serie mensual'!JE63)</f>
        <v>0</v>
      </c>
      <c r="N64" s="117">
        <f t="shared" si="1"/>
        <v>8.4032193189999997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70.02083778299999</v>
      </c>
      <c r="G65" s="117">
        <f>IF($A65="","",'Situfin serie mensual'!IY64)</f>
        <v>23.189010666999998</v>
      </c>
      <c r="H65" s="117">
        <f>IF($A65="","",'Situfin serie mensual'!IZ64)</f>
        <v>45.361161967999998</v>
      </c>
      <c r="I65" s="117">
        <f>IF($A65="","",'Situfin serie mensual'!JA64)</f>
        <v>63.852549713999998</v>
      </c>
      <c r="J65" s="117">
        <f>IF($A65="","",'Situfin serie mensual'!JB64)</f>
        <v>0</v>
      </c>
      <c r="K65" s="117">
        <f>IF($A65="","",'Situfin serie mensual'!JC64)</f>
        <v>0</v>
      </c>
      <c r="L65" s="117">
        <f>IF($A65="","",'Situfin serie mensual'!JD64)</f>
        <v>0</v>
      </c>
      <c r="M65" s="117">
        <f>IF($A65="","",'Situfin serie mensual'!JE64)</f>
        <v>0</v>
      </c>
      <c r="N65" s="117">
        <f t="shared" si="1"/>
        <v>280.55620518000001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3.3811927869999998</v>
      </c>
      <c r="G66" s="117">
        <f>IF($A66="","",'Situfin serie mensual'!IY65)</f>
        <v>3.024151823</v>
      </c>
      <c r="H66" s="117">
        <f>IF($A66="","",'Situfin serie mensual'!IZ65)</f>
        <v>3.0961926870000003</v>
      </c>
      <c r="I66" s="117">
        <f>IF($A66="","",'Situfin serie mensual'!JA65)</f>
        <v>4.0511926870000003</v>
      </c>
      <c r="J66" s="117">
        <f>IF($A66="","",'Situfin serie mensual'!JB65)</f>
        <v>0</v>
      </c>
      <c r="K66" s="117">
        <f>IF($A66="","",'Situfin serie mensual'!JC65)</f>
        <v>0</v>
      </c>
      <c r="L66" s="117">
        <f>IF($A66="","",'Situfin serie mensual'!JD65)</f>
        <v>0</v>
      </c>
      <c r="M66" s="117">
        <f>IF($A66="","",'Situfin serie mensual'!JE65)</f>
        <v>0</v>
      </c>
      <c r="N66" s="117">
        <f t="shared" si="1"/>
        <v>26.505500633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141.027193332</v>
      </c>
      <c r="G67" s="117">
        <f>IF($A67="","",'Situfin serie mensual'!IY66)</f>
        <v>122.67119844499999</v>
      </c>
      <c r="H67" s="117">
        <f>IF($A67="","",'Situfin serie mensual'!IZ66)</f>
        <v>62.457135361000006</v>
      </c>
      <c r="I67" s="117">
        <f>IF($A67="","",'Situfin serie mensual'!JA66)</f>
        <v>75.394766579999995</v>
      </c>
      <c r="J67" s="117">
        <f>IF($A67="","",'Situfin serie mensual'!JB66)</f>
        <v>0</v>
      </c>
      <c r="K67" s="117">
        <f>IF($A67="","",'Situfin serie mensual'!JC66)</f>
        <v>0</v>
      </c>
      <c r="L67" s="117">
        <f>IF($A67="","",'Situfin serie mensual'!JD66)</f>
        <v>0</v>
      </c>
      <c r="M67" s="117">
        <f>IF($A67="","",'Situfin serie mensual'!JE66)</f>
        <v>0</v>
      </c>
      <c r="N67" s="117">
        <f t="shared" si="1"/>
        <v>696.29472213500003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141.027193332</v>
      </c>
      <c r="G68" s="117">
        <f>IF($A68="","",'Situfin serie mensual'!IY67)</f>
        <v>122.67119844499999</v>
      </c>
      <c r="H68" s="117">
        <f>IF($A68="","",'Situfin serie mensual'!IZ67)</f>
        <v>62.457135361000006</v>
      </c>
      <c r="I68" s="117">
        <f>IF($A68="","",'Situfin serie mensual'!JA67)</f>
        <v>75.394766579999995</v>
      </c>
      <c r="J68" s="117">
        <f>IF($A68="","",'Situfin serie mensual'!JB67)</f>
        <v>0</v>
      </c>
      <c r="K68" s="117">
        <f>IF($A68="","",'Situfin serie mensual'!JC67)</f>
        <v>0</v>
      </c>
      <c r="L68" s="117">
        <f>IF($A68="","",'Situfin serie mensual'!JD67)</f>
        <v>0</v>
      </c>
      <c r="M68" s="117">
        <f>IF($A68="","",'Situfin serie mensual'!JE67)</f>
        <v>0</v>
      </c>
      <c r="N68" s="117">
        <f t="shared" si="1"/>
        <v>696.29472213500003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0</v>
      </c>
      <c r="M70" s="117">
        <f>IF($A70="","",'Situfin serie mensual'!JE69)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1123.5998421269996</v>
      </c>
      <c r="F72" s="125">
        <f>IF($A72="","",'Situfin serie mensual'!IX71)</f>
        <v>1144.9855842650004</v>
      </c>
      <c r="G72" s="125">
        <f>IF($A72="","",'Situfin serie mensual'!IY71)</f>
        <v>450.90408300599984</v>
      </c>
      <c r="H72" s="125">
        <f>IF($A72="","",'Situfin serie mensual'!IZ71)</f>
        <v>272.70787805200052</v>
      </c>
      <c r="I72" s="125">
        <f>IF($A72="","",'Situfin serie mensual'!JA71)</f>
        <v>-814.9363124800002</v>
      </c>
      <c r="J72" s="125">
        <f>IF($A72="","",'Situfin serie mensual'!JB71)</f>
        <v>0</v>
      </c>
      <c r="K72" s="125">
        <f>IF($A72="","",'Situfin serie mensual'!JC71)</f>
        <v>0</v>
      </c>
      <c r="L72" s="125">
        <f>IF($A72="","",'Situfin serie mensual'!JD71)</f>
        <v>0</v>
      </c>
      <c r="M72" s="125">
        <f>IF($A72="","",'Situfin serie mensual'!JE71)</f>
        <v>0</v>
      </c>
      <c r="N72" s="125">
        <f>+SUM(B72:M72)</f>
        <v>888.23695853600157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508.08560216199999</v>
      </c>
      <c r="G75" s="115">
        <f>IF($A75="","",'Situfin serie mensual'!IY74)</f>
        <v>529.7948712650001</v>
      </c>
      <c r="H75" s="115">
        <f>IF($A75="","",'Situfin serie mensual'!IZ74)</f>
        <v>715.2767886649998</v>
      </c>
      <c r="I75" s="115">
        <f>IF($A75="","",'Situfin serie mensual'!JA74)</f>
        <v>645.81966667200004</v>
      </c>
      <c r="J75" s="115">
        <f>IF($A75="","",'Situfin serie mensual'!JB74)</f>
        <v>0</v>
      </c>
      <c r="K75" s="115">
        <f>IF($A75="","",'Situfin serie mensual'!JC74)</f>
        <v>0</v>
      </c>
      <c r="L75" s="115">
        <f>IF($A75="","",'Situfin serie mensual'!JD74)</f>
        <v>0</v>
      </c>
      <c r="M75" s="115">
        <f>IF($A75="","",'Situfin serie mensual'!JE74)</f>
        <v>0</v>
      </c>
      <c r="N75" s="115">
        <f>+SUM(B75:M75)</f>
        <v>3702.7152626310003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499.62814789699996</v>
      </c>
      <c r="G76" s="117">
        <f>IF($A76="","",'Situfin serie mensual'!IY75)</f>
        <v>473.88904741100009</v>
      </c>
      <c r="H76" s="117">
        <f>IF($A76="","",'Situfin serie mensual'!IZ75)</f>
        <v>714.07327816199984</v>
      </c>
      <c r="I76" s="117">
        <f>IF($A76="","",'Situfin serie mensual'!JA75)</f>
        <v>511.73482078400002</v>
      </c>
      <c r="J76" s="117">
        <f>IF($A76="","",'Situfin serie mensual'!JB75)</f>
        <v>0</v>
      </c>
      <c r="K76" s="117">
        <f>IF($A76="","",'Situfin serie mensual'!JC75)</f>
        <v>0</v>
      </c>
      <c r="L76" s="117">
        <f>IF($A76="","",'Situfin serie mensual'!JD75)</f>
        <v>0</v>
      </c>
      <c r="M76" s="117">
        <f>IF($A76="","",'Situfin serie mensual'!JE75)</f>
        <v>0</v>
      </c>
      <c r="N76" s="117">
        <f>+SUM(B76:M76)</f>
        <v>3414.0725316740004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8.4574542649999991</v>
      </c>
      <c r="G77" s="117">
        <f>IF($A77="","",'Situfin serie mensual'!IY76)</f>
        <v>4.8409505489999995</v>
      </c>
      <c r="H77" s="117">
        <f>IF($A77="","",'Situfin serie mensual'!IZ76)</f>
        <v>1.203510503</v>
      </c>
      <c r="I77" s="117">
        <f>IF($A77="","",'Situfin serie mensual'!JA76)</f>
        <v>7.0126755730000001</v>
      </c>
      <c r="J77" s="117">
        <f>IF($A77="","",'Situfin serie mensual'!JB76)</f>
        <v>0</v>
      </c>
      <c r="K77" s="117">
        <f>IF($A77="","",'Situfin serie mensual'!JC76)</f>
        <v>0</v>
      </c>
      <c r="L77" s="117">
        <f>IF($A77="","",'Situfin serie mensual'!JD76)</f>
        <v>0</v>
      </c>
      <c r="M77" s="117">
        <f>IF($A77="","",'Situfin serie mensual'!JE76)</f>
        <v>0</v>
      </c>
      <c r="N77" s="117">
        <f>+SUM(B77:M77)</f>
        <v>45.949428648999998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51.064873304999999</v>
      </c>
      <c r="H78" s="117">
        <f>IF($A78="","",'Situfin serie mensual'!IZ77)</f>
        <v>0</v>
      </c>
      <c r="I78" s="117">
        <f>IF($A78="","",'Situfin serie mensual'!JA77)</f>
        <v>127.07217031499999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242.693302308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510.6599702029996</v>
      </c>
      <c r="F79" s="130">
        <f>IF($A79="","",'Situfin serie mensual'!IX78)</f>
        <v>636.89998210300041</v>
      </c>
      <c r="G79" s="130">
        <f>IF($A79="","",'Situfin serie mensual'!IY78)</f>
        <v>-78.89078825900026</v>
      </c>
      <c r="H79" s="130">
        <f>IF($A79="","",'Situfin serie mensual'!IZ78)</f>
        <v>-442.56891061299928</v>
      </c>
      <c r="I79" s="130">
        <f>IF($A79="","",'Situfin serie mensual'!JA78)</f>
        <v>-1460.7559791520002</v>
      </c>
      <c r="J79" s="130">
        <f>IF($A79="","",'Situfin serie mensual'!JB78)</f>
        <v>0</v>
      </c>
      <c r="K79" s="130">
        <f>IF($A79="","",'Situfin serie mensual'!JC78)</f>
        <v>0</v>
      </c>
      <c r="L79" s="130">
        <f>IF($A79="","",'Situfin serie mensual'!JD78)</f>
        <v>0</v>
      </c>
      <c r="M79" s="130">
        <f>IF($A79="","",'Situfin serie mensual'!JE78)</f>
        <v>0</v>
      </c>
      <c r="N79" s="130">
        <f>+SUM(B79:M79)</f>
        <v>-2814.4783040949987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-2780.3319370007994</v>
      </c>
      <c r="E83" s="115">
        <f>IF($A83="","",'Situfin serie mensual'!IW82)</f>
        <v>1032.9323695654336</v>
      </c>
      <c r="F83" s="115">
        <f>IF($A83="","",'Situfin serie mensual'!IX82)</f>
        <v>1521.62250532751</v>
      </c>
      <c r="G83" s="115">
        <f>IF($A83="","",'Situfin serie mensual'!IY82)</f>
        <v>1196.9125215232857</v>
      </c>
      <c r="H83" s="115">
        <f>IF($A83="","",'Situfin serie mensual'!IZ82)</f>
        <v>-312.96146151344402</v>
      </c>
      <c r="I83" s="115">
        <f>IF($A83="","",'Situfin serie mensual'!JA82)</f>
        <v>35.242732589000013</v>
      </c>
      <c r="J83" s="115">
        <f>IF($A83="","",'Situfin serie mensual'!JB82)</f>
        <v>0</v>
      </c>
      <c r="K83" s="115">
        <f>IF($A83="","",'Situfin serie mensual'!JC82)</f>
        <v>0</v>
      </c>
      <c r="L83" s="115">
        <f>IF($A83="","",'Situfin serie mensual'!JD82)</f>
        <v>0</v>
      </c>
      <c r="M83" s="115">
        <f>IF($A83="","",'Situfin serie mensual'!JE82)</f>
        <v>0</v>
      </c>
      <c r="N83" s="115">
        <f>+SUM(B83:M83)</f>
        <v>6362.5392008317949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-2780.3319370007994</v>
      </c>
      <c r="E84" s="117">
        <f>IF($A84="","",'Situfin serie mensual'!IW83)</f>
        <v>1032.9323695654336</v>
      </c>
      <c r="F84" s="117">
        <f>IF($A84="","",'Situfin serie mensual'!IX83)</f>
        <v>1521.62250532751</v>
      </c>
      <c r="G84" s="117">
        <f>IF($A84="","",'Situfin serie mensual'!IY83)</f>
        <v>1196.9125215232857</v>
      </c>
      <c r="H84" s="117">
        <f>IF($A84="","",'Situfin serie mensual'!IZ83)</f>
        <v>-312.96146151344402</v>
      </c>
      <c r="I84" s="117">
        <f>IF($A84="","",'Situfin serie mensual'!JA83)</f>
        <v>35.242732589000013</v>
      </c>
      <c r="J84" s="117">
        <f>IF($A84="","",'Situfin serie mensual'!JB83)</f>
        <v>0</v>
      </c>
      <c r="K84" s="117">
        <f>IF($A84="","",'Situfin serie mensual'!JC83)</f>
        <v>0</v>
      </c>
      <c r="L84" s="117">
        <f>IF($A84="","",'Situfin serie mensual'!JD83)</f>
        <v>0</v>
      </c>
      <c r="M84" s="117">
        <f>IF($A84="","",'Situfin serie mensual'!JE83)</f>
        <v>0</v>
      </c>
      <c r="N84" s="117">
        <f t="shared" ref="N84:N95" si="2">+SUM(B84:M84)</f>
        <v>6362.5392008317949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-555.6078134679999</v>
      </c>
      <c r="E86" s="115">
        <f>IF($A86="","",'Situfin serie mensual'!IW85)</f>
        <v>1146.1299144889999</v>
      </c>
      <c r="F86" s="115">
        <f>IF($A86="","",'Situfin serie mensual'!IX85)</f>
        <v>1505.7304167899997</v>
      </c>
      <c r="G86" s="115">
        <f>IF($A86="","",'Situfin serie mensual'!IY85)</f>
        <v>909.80212153999992</v>
      </c>
      <c r="H86" s="115">
        <f>IF($A86="","",'Situfin serie mensual'!IZ85)</f>
        <v>700.220311907</v>
      </c>
      <c r="I86" s="115">
        <f>IF($A86="","",'Situfin serie mensual'!JA85)</f>
        <v>338.34413637099999</v>
      </c>
      <c r="J86" s="115">
        <f>IF($A86="","",'Situfin serie mensual'!JB85)</f>
        <v>0</v>
      </c>
      <c r="K86" s="115">
        <f>IF($A86="","",'Situfin serie mensual'!JC85)</f>
        <v>0</v>
      </c>
      <c r="L86" s="115">
        <f>IF($A86="","",'Situfin serie mensual'!JD85)</f>
        <v>0</v>
      </c>
      <c r="M86" s="115">
        <f>IF($A86="","",'Situfin serie mensual'!JE85)</f>
        <v>0</v>
      </c>
      <c r="N86" s="115">
        <f t="shared" si="2"/>
        <v>6780.4664300569993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-16.420111705</v>
      </c>
      <c r="E87" s="117">
        <f>IF($A87="","",'Situfin serie mensual'!IW86)</f>
        <v>1129.139421227</v>
      </c>
      <c r="F87" s="117">
        <f>IF($A87="","",'Situfin serie mensual'!IX86)</f>
        <v>-144.92893577900003</v>
      </c>
      <c r="G87" s="117">
        <f>IF($A87="","",'Situfin serie mensual'!IY86)</f>
        <v>480.85150161499996</v>
      </c>
      <c r="H87" s="117">
        <f>IF($A87="","",'Situfin serie mensual'!IZ86)</f>
        <v>507.08930101099998</v>
      </c>
      <c r="I87" s="117">
        <f>IF($A87="","",'Situfin serie mensual'!JA86)</f>
        <v>-17.387468611999999</v>
      </c>
      <c r="J87" s="117">
        <f>IF($A87="","",'Situfin serie mensual'!JB86)</f>
        <v>0</v>
      </c>
      <c r="K87" s="117">
        <f>IF($A87="","",'Situfin serie mensual'!JC86)</f>
        <v>0</v>
      </c>
      <c r="L87" s="117">
        <f>IF($A87="","",'Situfin serie mensual'!JD86)</f>
        <v>0</v>
      </c>
      <c r="M87" s="117">
        <f>IF($A87="","",'Situfin serie mensual'!JE86)</f>
        <v>0</v>
      </c>
      <c r="N87" s="117">
        <f t="shared" si="2"/>
        <v>-1858.4812444670004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1650.6593525689998</v>
      </c>
      <c r="G88" s="117">
        <f>IF($A88="","",'Situfin serie mensual'!IY87)</f>
        <v>428.95061992499996</v>
      </c>
      <c r="H88" s="117">
        <f>IF($A88="","",'Situfin serie mensual'!IZ87)</f>
        <v>193.13101089599999</v>
      </c>
      <c r="I88" s="117">
        <f>IF($A88="","",'Situfin serie mensual'!JA87)</f>
        <v>355.73160498300001</v>
      </c>
      <c r="J88" s="117">
        <f>IF($A88="","",'Situfin serie mensual'!JB87)</f>
        <v>0</v>
      </c>
      <c r="K88" s="117">
        <f>IF($A88="","",'Situfin serie mensual'!JC87)</f>
        <v>0</v>
      </c>
      <c r="L88" s="117">
        <f>IF($A88="","",'Situfin serie mensual'!JD87)</f>
        <v>0</v>
      </c>
      <c r="M88" s="117">
        <f>IF($A88="","",'Situfin serie mensual'!JE87)</f>
        <v>0</v>
      </c>
      <c r="N88" s="117">
        <f t="shared" si="2"/>
        <v>8638.947674523999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-16.344111705</v>
      </c>
      <c r="E90" s="115">
        <f>IF($A90="","",'Situfin serie mensual'!IW89)</f>
        <v>244.05842122700003</v>
      </c>
      <c r="F90" s="115">
        <f>IF($A90="","",'Situfin serie mensual'!IX89)</f>
        <v>-118.41265638</v>
      </c>
      <c r="G90" s="115">
        <f>IF($A90="","",'Situfin serie mensual'!IY89)</f>
        <v>187.35150161499999</v>
      </c>
      <c r="H90" s="115">
        <f>IF($A90="","",'Situfin serie mensual'!IZ89)</f>
        <v>520.62089835799998</v>
      </c>
      <c r="I90" s="115">
        <f>IF($A90="","",'Situfin serie mensual'!JA89)</f>
        <v>0</v>
      </c>
      <c r="J90" s="115">
        <f>IF($A90="","",'Situfin serie mensual'!JB89)</f>
        <v>0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-2962.892726818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-16.344111705</v>
      </c>
      <c r="E91" s="132">
        <f>IF($A91="","",'Situfin serie mensual'!IW90)</f>
        <v>244.05842122700003</v>
      </c>
      <c r="F91" s="132">
        <f>IF($A91="","",'Situfin serie mensual'!IX90)</f>
        <v>-118.41265638</v>
      </c>
      <c r="G91" s="132">
        <f>IF($A91="","",'Situfin serie mensual'!IY90)</f>
        <v>187.35150161499999</v>
      </c>
      <c r="H91" s="132">
        <f>IF($A91="","",'Situfin serie mensual'!IZ90)</f>
        <v>520.62089835799998</v>
      </c>
      <c r="I91" s="132">
        <f>IF($A91="","",'Situfin serie mensual'!JA90)</f>
        <v>0</v>
      </c>
      <c r="J91" s="132">
        <f>IF($A91="","",'Situfin serie mensual'!JB90)</f>
        <v>0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2521.7345307810001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-2779.1760796167996</v>
      </c>
      <c r="E94" s="134">
        <f>IF($A94="","",'Situfin serie mensual'!IW93)</f>
        <v>1001.2231447584336</v>
      </c>
      <c r="F94" s="134">
        <f>IF($A94="","",'Situfin serie mensual'!IX93)</f>
        <v>1492.8002479745101</v>
      </c>
      <c r="G94" s="134">
        <f>IF($A94="","",'Situfin serie mensual'!IY93)</f>
        <v>1154.5796204132857</v>
      </c>
      <c r="H94" s="134">
        <f>IF($A94="","",'Situfin serie mensual'!IZ93)</f>
        <v>-311.73213025844404</v>
      </c>
      <c r="I94" s="134">
        <f>IF($A94="","",'Situfin serie mensual'!JA93)</f>
        <v>0</v>
      </c>
      <c r="J94" s="134">
        <f>IF($A94="","",'Situfin serie mensual'!JB93)</f>
        <v>0</v>
      </c>
      <c r="K94" s="134">
        <f>IF($A94="","",'Situfin serie mensual'!JC93)</f>
        <v>0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5951.8518627447938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-2779.1760796167996</v>
      </c>
      <c r="E95" s="132">
        <f>IF($A95="","",'Situfin serie mensual'!IW94)</f>
        <v>1001.2231447584336</v>
      </c>
      <c r="F95" s="132">
        <f>IF($A95="","",'Situfin serie mensual'!IX94)</f>
        <v>1492.8002479745101</v>
      </c>
      <c r="G95" s="132">
        <f>IF($A95="","",'Situfin serie mensual'!IY94)</f>
        <v>1154.5796204132857</v>
      </c>
      <c r="H95" s="132">
        <f>IF($A95="","",'Situfin serie mensual'!IZ94)</f>
        <v>-311.73213025844404</v>
      </c>
      <c r="I95" s="132">
        <f>IF($A95="","",'Situfin serie mensual'!JA94)</f>
        <v>0</v>
      </c>
      <c r="J95" s="132">
        <f>IF($A95="","",'Situfin serie mensual'!JB94)</f>
        <v>0</v>
      </c>
      <c r="K95" s="132">
        <f>IF($A95="","",'Situfin serie mensual'!JC94)</f>
        <v>0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5951.8518627447938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56.009409626799652</v>
      </c>
      <c r="E97" s="134">
        <f>IF($A97="","",'Situfin serie mensual'!IW96)</f>
        <v>623.85751512656589</v>
      </c>
      <c r="F97" s="134">
        <f>IF($A97="","",'Situfin serie mensual'!IX96)</f>
        <v>621.00789356549012</v>
      </c>
      <c r="G97" s="134">
        <f>IF($A97="","",'Situfin serie mensual'!IY96)</f>
        <v>-366.00118824228593</v>
      </c>
      <c r="H97" s="134">
        <f>IF($A97="","",'Situfin serie mensual'!IZ96)</f>
        <v>570.6128628074448</v>
      </c>
      <c r="I97" s="134">
        <f>IF($A97="","",'Situfin serie mensual'!JA96)</f>
        <v>-1157.6545753700002</v>
      </c>
      <c r="J97" s="134">
        <f>IF($A97="","",'Situfin serie mensual'!JB96)</f>
        <v>0</v>
      </c>
      <c r="K97" s="134">
        <f>IF($A97="","",'Situfin serie mensual'!JC96)</f>
        <v>0</v>
      </c>
      <c r="L97" s="134">
        <f>IF($A97="","",'Situfin serie mensual'!JD96)</f>
        <v>0</v>
      </c>
      <c r="M97" s="134">
        <f>IF($A97="","",'Situfin serie mensual'!JE96)</f>
        <v>0</v>
      </c>
      <c r="N97" s="115">
        <f>+SUM(B97:M97)</f>
        <v>-2396.5510748697943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12" t="s">
        <v>190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07"/>
      <c r="P99" s="207"/>
    </row>
    <row r="100" spans="1:16" x14ac:dyDescent="0.2">
      <c r="A100" s="207" t="s">
        <v>191</v>
      </c>
      <c r="B100" s="209">
        <f>B35-B49-B52-B55-B67-B42</f>
        <v>2611.5491690860003</v>
      </c>
      <c r="C100" s="209">
        <f t="shared" ref="C100:M100" si="3">C35-C49-C52-C55-C67-C42</f>
        <v>3084.7871149109997</v>
      </c>
      <c r="D100" s="209">
        <f t="shared" si="3"/>
        <v>4011.0284479069996</v>
      </c>
      <c r="E100" s="209">
        <f t="shared" si="3"/>
        <v>3433.9365634220007</v>
      </c>
      <c r="F100" s="209">
        <f t="shared" si="3"/>
        <v>3325.783059329</v>
      </c>
      <c r="G100" s="209">
        <f t="shared" si="3"/>
        <v>3366.3982402880001</v>
      </c>
      <c r="H100" s="209">
        <f t="shared" si="3"/>
        <v>3723.3115539649998</v>
      </c>
      <c r="I100" s="209">
        <f t="shared" si="3"/>
        <v>3455.5070151360005</v>
      </c>
      <c r="J100" s="209">
        <f t="shared" si="3"/>
        <v>0</v>
      </c>
      <c r="K100" s="209">
        <f t="shared" si="3"/>
        <v>0</v>
      </c>
      <c r="L100" s="209">
        <f t="shared" si="3"/>
        <v>0</v>
      </c>
      <c r="M100" s="209">
        <f t="shared" si="3"/>
        <v>0</v>
      </c>
      <c r="N100" s="117">
        <f t="shared" ref="N100:N101" si="4">+SUM(B100:M100)</f>
        <v>27012.301164044002</v>
      </c>
      <c r="O100" s="207"/>
      <c r="P100" s="207"/>
    </row>
    <row r="101" spans="1:16" x14ac:dyDescent="0.2">
      <c r="A101" s="207" t="s">
        <v>92</v>
      </c>
      <c r="B101" s="209">
        <f>B79+B42</f>
        <v>1028.0393381970002</v>
      </c>
      <c r="C101" s="209">
        <f t="shared" ref="C101:M101" si="5">C79+C42</f>
        <v>-252.22155629299948</v>
      </c>
      <c r="D101" s="209">
        <f t="shared" si="5"/>
        <v>-1244.7772629939998</v>
      </c>
      <c r="E101" s="209">
        <f t="shared" si="5"/>
        <v>983.71679364099964</v>
      </c>
      <c r="F101" s="209">
        <f t="shared" si="5"/>
        <v>1329.4396523520004</v>
      </c>
      <c r="G101" s="209">
        <f t="shared" si="5"/>
        <v>244.61446507499971</v>
      </c>
      <c r="H101" s="209">
        <f t="shared" si="5"/>
        <v>-202.48378473899928</v>
      </c>
      <c r="I101" s="209">
        <f t="shared" si="5"/>
        <v>-780.96164090800016</v>
      </c>
      <c r="J101" s="209">
        <f t="shared" si="5"/>
        <v>0</v>
      </c>
      <c r="K101" s="209">
        <f t="shared" si="5"/>
        <v>0</v>
      </c>
      <c r="L101" s="209">
        <f t="shared" si="5"/>
        <v>0</v>
      </c>
      <c r="M101" s="209">
        <f t="shared" si="5"/>
        <v>0</v>
      </c>
      <c r="N101" s="117">
        <f t="shared" si="4"/>
        <v>1105.3660043310015</v>
      </c>
      <c r="O101" s="207"/>
      <c r="P101" s="207"/>
    </row>
    <row r="102" spans="1:16" ht="9" customHeight="1" x14ac:dyDescent="0.2">
      <c r="A102" s="214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8"/>
      <c r="O102" s="207"/>
      <c r="P102" s="207"/>
    </row>
    <row r="103" spans="1:16" ht="16.5" x14ac:dyDescent="0.3">
      <c r="A103" s="173" t="s">
        <v>186</v>
      </c>
      <c r="B103" s="207"/>
      <c r="C103" s="207"/>
      <c r="D103" s="207"/>
      <c r="E103" s="207"/>
      <c r="F103" s="153"/>
      <c r="G103" s="207"/>
      <c r="H103" s="207"/>
      <c r="I103" s="210"/>
      <c r="J103" s="207"/>
      <c r="K103" s="207"/>
      <c r="L103" s="207"/>
      <c r="M103" s="207"/>
      <c r="N103" s="207"/>
      <c r="O103" s="207"/>
      <c r="P103" s="207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  <mergeCell ref="K8:K9"/>
    <mergeCell ref="L8:L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71"/>
  <sheetViews>
    <sheetView showGridLines="0" workbookViewId="0">
      <selection activeCell="M43" sqref="M43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15.140625" bestFit="1" customWidth="1"/>
    <col min="4" max="4" width="10.5703125" bestFit="1" customWidth="1"/>
    <col min="5" max="5" width="12.28515625" bestFit="1" customWidth="1"/>
    <col min="6" max="6" width="15.42578125" bestFit="1" customWidth="1"/>
    <col min="7" max="8" width="20.42578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207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-509.65468028949232</v>
      </c>
      <c r="C4" s="66">
        <v>80.741462911758276</v>
      </c>
      <c r="S4" t="s">
        <v>120</v>
      </c>
      <c r="T4" s="66">
        <f>VLOOKUP(MAX(A4:A9),$A$4:$B$9,2,0)</f>
        <v>-377.89819333880075</v>
      </c>
      <c r="U4" s="66">
        <f>VLOOKUP(MAX(A4:A9)-1,$A$4:$B$9,2,0)</f>
        <v>-583.80504613872438</v>
      </c>
      <c r="V4" s="182"/>
    </row>
    <row r="5" spans="1:22" x14ac:dyDescent="0.25">
      <c r="A5" s="68">
        <v>2022</v>
      </c>
      <c r="B5" s="66">
        <v>-390.18152233119849</v>
      </c>
      <c r="C5" s="66">
        <v>290.06096885396846</v>
      </c>
      <c r="S5" t="s">
        <v>121</v>
      </c>
      <c r="T5" s="183">
        <f>VLOOKUP(MAX(A14:A19),$A$14:$B$19,2,0)/100</f>
        <v>-8.4189599009095797E-3</v>
      </c>
      <c r="U5" s="183">
        <f>(VLOOKUP(MAX(A14:A19)-1,$A$14:$B$19,2,0))/100</f>
        <v>-1.3491339729036836E-2</v>
      </c>
      <c r="V5" s="182"/>
    </row>
    <row r="6" spans="1:22" x14ac:dyDescent="0.25">
      <c r="A6" s="68">
        <v>2023</v>
      </c>
      <c r="B6" s="66">
        <v>-583.80504613872438</v>
      </c>
      <c r="C6" s="66">
        <v>-24.91247568848344</v>
      </c>
      <c r="S6" t="s">
        <v>192</v>
      </c>
      <c r="T6" s="222">
        <f>VLOOKUP(MAX($G$54:$G$145),$G$54:$J$145,4,0)</f>
        <v>-1548.9353783484178</v>
      </c>
      <c r="U6" s="222">
        <f>VLOOKUP(MAX($G$54:$G$145)-1,$G$54:$J$145,4,0)</f>
        <v>-1402.5917544149304</v>
      </c>
      <c r="V6" s="182"/>
    </row>
    <row r="7" spans="1:22" x14ac:dyDescent="0.25">
      <c r="A7" s="68">
        <v>2024</v>
      </c>
      <c r="B7" s="66">
        <v>-377.89819333880075</v>
      </c>
      <c r="C7" s="66">
        <v>117.12260025084076</v>
      </c>
      <c r="S7" t="s">
        <v>122</v>
      </c>
      <c r="T7" s="183">
        <f>(VLOOKUP(MAX(A54:A139),$A$54:$E$139,5,0))/100</f>
        <v>-3.5899379740341263E-2</v>
      </c>
      <c r="U7" s="183">
        <f>(VLOOKUP(MAX(A54:A139)-1,$A$54:$E$139,5,0))/100</f>
        <v>-3.3600192010925227E-2</v>
      </c>
      <c r="V7" s="182"/>
    </row>
    <row r="8" spans="1:22" x14ac:dyDescent="0.25">
      <c r="S8" t="s">
        <v>174</v>
      </c>
      <c r="T8" s="183">
        <f>ABS(VLOOKUP(MAX(M55:M142),$M$55:$Q$142,5,0))/100</f>
        <v>4.3695650435824065E-3</v>
      </c>
      <c r="U8" s="183">
        <f>ABS(VLOOKUP(MAX(M55:M142)-1,$M$55:$Q$142,5,0))/100</f>
        <v>1.5753977699229866E-3</v>
      </c>
      <c r="V8" s="182"/>
    </row>
    <row r="9" spans="1:22" x14ac:dyDescent="0.25">
      <c r="S9" t="s">
        <v>175</v>
      </c>
      <c r="T9" s="184">
        <f>VLOOKUP(MAX(A4:A9),$A$4:$C$9,3,0)</f>
        <v>117.12260025084076</v>
      </c>
      <c r="U9" s="184">
        <f>VLOOKUP(MAX(A4:A9)-1,$A$4:$C$9,3,0)</f>
        <v>-24.91247568848344</v>
      </c>
      <c r="V9" s="182"/>
    </row>
    <row r="10" spans="1:22" x14ac:dyDescent="0.25">
      <c r="S10" t="s">
        <v>177</v>
      </c>
      <c r="T10" s="183">
        <f>VLOOKUP(MAX(A14:A19),$A$14:$C$19,3,0)/100</f>
        <v>2.6569866697995588E-3</v>
      </c>
      <c r="U10" s="183">
        <f>VLOOKUP(MAX(A14:A19)-1,$A$14:$C$19,3,0)/100</f>
        <v>-5.6586753088773379E-4</v>
      </c>
      <c r="V10" s="182"/>
    </row>
    <row r="11" spans="1:22" x14ac:dyDescent="0.25">
      <c r="A11" s="67" t="s">
        <v>67</v>
      </c>
      <c r="B11" t="s">
        <v>207</v>
      </c>
      <c r="S11" t="s">
        <v>194</v>
      </c>
      <c r="T11" s="222">
        <f>VLOOKUP(MAX($G$54:$G$145),$G$54:$J$145,3,0)</f>
        <v>-481.07259318961161</v>
      </c>
      <c r="U11" s="222">
        <f>VLOOKUP(MAX($G$54:$G$145)-1,$G$54:$J$145,3,0)</f>
        <v>-328.83659080227943</v>
      </c>
      <c r="V11" s="182"/>
    </row>
    <row r="12" spans="1:22" x14ac:dyDescent="0.25">
      <c r="S12" t="s">
        <v>183</v>
      </c>
      <c r="T12" s="183">
        <f>(VLOOKUP(MAX(A54:A139),$A$54:$E$139,3,0))/100</f>
        <v>-1.1352963526807576E-2</v>
      </c>
      <c r="U12" s="183">
        <f>(VLOOKUP(MAX(A54:A139)-1,$A$54:$E$139,3,0))/100</f>
        <v>-8.0879773332479393E-3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33804.319605851997</v>
      </c>
      <c r="U13" s="66">
        <f>VLOOKUP(MAX(A24:A29)-1,$A$24:$H$29,2,0)</f>
        <v>28584.110925614998</v>
      </c>
      <c r="V13" s="190">
        <f>(IFERROR(T13/U13-1,0))</f>
        <v>0.18262623923555488</v>
      </c>
    </row>
    <row r="14" spans="1:22" ht="15.75" x14ac:dyDescent="0.25">
      <c r="A14" s="68">
        <v>2021</v>
      </c>
      <c r="B14" s="66">
        <v>-1.255357175852166</v>
      </c>
      <c r="C14" s="66">
        <v>0.2093640238747527</v>
      </c>
      <c r="S14" t="s">
        <v>84</v>
      </c>
      <c r="T14" s="66">
        <f>VLOOKUP(MAX(A24:A29),$A$24:$H$29,3,0)</f>
        <v>25356.114285661002</v>
      </c>
      <c r="U14" s="66">
        <f>VLOOKUP(MAX(A24:A29)-1,$A$24:$H$29,3,0)</f>
        <v>20832.403744930001</v>
      </c>
      <c r="V14" s="189">
        <f>IFERROR(T14/U14-1,0)</f>
        <v>0.21714779514255245</v>
      </c>
    </row>
    <row r="15" spans="1:22" ht="15.75" x14ac:dyDescent="0.25">
      <c r="A15" s="68">
        <v>2022</v>
      </c>
      <c r="B15" s="66">
        <v>-0.92273846235493362</v>
      </c>
      <c r="C15" s="66">
        <v>0.67896079247625019</v>
      </c>
      <c r="S15" t="s">
        <v>85</v>
      </c>
      <c r="T15" s="66">
        <f>VLOOKUP(MAX(A24:A29),$A$24:$H$29,4,0)</f>
        <v>2161.662799058</v>
      </c>
      <c r="U15" s="66">
        <f>VLOOKUP(MAX(A24:A29)-1,$A$24:$H$29,4,0)</f>
        <v>2520.5891877599997</v>
      </c>
      <c r="V15" s="189">
        <f t="shared" ref="V15:V32" si="0">IFERROR(T15/U15-1,0)</f>
        <v>-0.14239781335449231</v>
      </c>
    </row>
    <row r="16" spans="1:22" ht="15.75" x14ac:dyDescent="0.25">
      <c r="A16" s="68">
        <v>2023</v>
      </c>
      <c r="B16" s="66">
        <v>-1.3491339729036835</v>
      </c>
      <c r="C16" s="66">
        <v>-5.6586753088773381E-2</v>
      </c>
      <c r="S16" t="s">
        <v>86</v>
      </c>
      <c r="T16" s="66">
        <f>VLOOKUP(MAX(A24:A29),$A$24:$H$29,5,0)</f>
        <v>1220.537854682</v>
      </c>
      <c r="U16" s="66">
        <f>VLOOKUP(MAX(A24:A29)-1,$A$24:$H$29,5,0)</f>
        <v>992.19094360000008</v>
      </c>
      <c r="V16" s="189">
        <f t="shared" si="0"/>
        <v>0.23014411949123526</v>
      </c>
    </row>
    <row r="17" spans="1:22" ht="15.75" x14ac:dyDescent="0.25">
      <c r="A17" s="68">
        <v>2024</v>
      </c>
      <c r="B17" s="66">
        <v>-0.84189599009095795</v>
      </c>
      <c r="C17" s="66">
        <v>0.26569866697995587</v>
      </c>
      <c r="S17" t="s">
        <v>87</v>
      </c>
      <c r="T17" s="66">
        <f>VLOOKUP(MAX(A24:A29),$A$24:$H$29,4,0)</f>
        <v>2161.662799058</v>
      </c>
      <c r="U17" s="66">
        <f>VLOOKUP(MAX(A24:A29)-1,$A$24:$H$29,4,0)</f>
        <v>2520.5891877599997</v>
      </c>
      <c r="V17" s="189">
        <f t="shared" si="0"/>
        <v>-0.14239781335449231</v>
      </c>
    </row>
    <row r="18" spans="1:22" ht="15.75" x14ac:dyDescent="0.25">
      <c r="S18" t="s">
        <v>11</v>
      </c>
      <c r="T18" s="66">
        <f>VLOOKUP(MAX(A24:A29),$A$24:$H$29,5,0)</f>
        <v>1220.537854682</v>
      </c>
      <c r="U18" s="66">
        <f>VLOOKUP(MAX(A24:A29)-1,$A$24:$H$29,5,0)</f>
        <v>992.19094360000008</v>
      </c>
      <c r="V18" s="189">
        <f t="shared" si="0"/>
        <v>0.23014411949123526</v>
      </c>
    </row>
    <row r="19" spans="1:22" ht="15.75" x14ac:dyDescent="0.25">
      <c r="S19" t="s">
        <v>88</v>
      </c>
      <c r="T19" s="66">
        <f>VLOOKUP(MAX(A24:A29),$A$24:$H$29,6,0)</f>
        <v>5066.004666451</v>
      </c>
      <c r="U19" s="66">
        <f>VLOOKUP(MAX(A24:A29)-1,$A$24:$H$29,6,0)</f>
        <v>4238.9270493250006</v>
      </c>
      <c r="V19" s="189">
        <f t="shared" si="0"/>
        <v>0.19511485040953991</v>
      </c>
    </row>
    <row r="20" spans="1:22" ht="15.75" x14ac:dyDescent="0.25">
      <c r="S20" t="s">
        <v>123</v>
      </c>
      <c r="T20" s="66">
        <f>VLOOKUP(MAX(A34:A39),$A$34:$H$39,2,0)</f>
        <v>32916.082647315998</v>
      </c>
      <c r="U20" s="66">
        <f>VLOOKUP(MAX(A34:A39)-1,$A$34:$H$39,2,0)</f>
        <v>28761.281179672998</v>
      </c>
      <c r="V20" s="190">
        <f t="shared" si="0"/>
        <v>0.14445814988865657</v>
      </c>
    </row>
    <row r="21" spans="1:22" ht="15.75" x14ac:dyDescent="0.25">
      <c r="A21" s="67" t="s">
        <v>67</v>
      </c>
      <c r="B21" t="s">
        <v>207</v>
      </c>
      <c r="S21" t="s">
        <v>89</v>
      </c>
      <c r="T21" s="66">
        <f>VLOOKUP(MAX(A34:A39),$A$34:$H$39,3,0)</f>
        <v>13410.609495988003</v>
      </c>
      <c r="U21" s="66">
        <f>VLOOKUP(MAX(A34:A39)-1,$A$34:$H$39,3,0)</f>
        <v>12489.859790742001</v>
      </c>
      <c r="V21" s="189">
        <f t="shared" si="0"/>
        <v>7.3719779138633701E-2</v>
      </c>
    </row>
    <row r="22" spans="1:22" ht="15.75" x14ac:dyDescent="0.25">
      <c r="S22" t="s">
        <v>90</v>
      </c>
      <c r="T22" s="66">
        <f>VLOOKUP(MAX(A34:A39),$A$34:$H$39,4,0)</f>
        <v>4577.4929397729993</v>
      </c>
      <c r="U22" s="66">
        <f>VLOOKUP(MAX(A34:A39)-1,$A$34:$H$39,4,0)</f>
        <v>3359.0391561049996</v>
      </c>
      <c r="V22" s="189">
        <f t="shared" si="0"/>
        <v>0.36273878542126536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3919.8443084259998</v>
      </c>
      <c r="U23" s="66">
        <f>VLOOKUP(MAX(A34:A39)-1,$A$34:$H$39,5,0)</f>
        <v>2804.5375461130002</v>
      </c>
      <c r="V23" s="189">
        <f t="shared" si="0"/>
        <v>0.39767938349008003</v>
      </c>
    </row>
    <row r="24" spans="1:22" ht="15.75" x14ac:dyDescent="0.25">
      <c r="A24" s="68">
        <v>2021</v>
      </c>
      <c r="B24" s="66">
        <v>23715.987577633005</v>
      </c>
      <c r="C24" s="66">
        <v>16863.590670021</v>
      </c>
      <c r="D24" s="66">
        <v>1907.6402413989999</v>
      </c>
      <c r="E24" s="66">
        <v>1185.5308729119999</v>
      </c>
      <c r="F24" s="66">
        <v>3759.2257933010001</v>
      </c>
      <c r="S24" t="s">
        <v>11</v>
      </c>
      <c r="T24" s="66">
        <f>VLOOKUP(MAX(A34:A39),$A$34:$H$39,6,0)</f>
        <v>3804.5273532780002</v>
      </c>
      <c r="U24" s="66">
        <f>VLOOKUP(MAX(A34:A39)-1,$A$34:$H$39,6,0)</f>
        <v>3188.2245873520005</v>
      </c>
      <c r="V24" s="189">
        <f t="shared" si="0"/>
        <v>0.19330594474772367</v>
      </c>
    </row>
    <row r="25" spans="1:22" ht="15.75" x14ac:dyDescent="0.25">
      <c r="A25" s="68">
        <v>2022</v>
      </c>
      <c r="B25" s="66">
        <v>26949.982376129003</v>
      </c>
      <c r="C25" s="66">
        <v>19962.543065575999</v>
      </c>
      <c r="D25" s="66">
        <v>2426.043233461</v>
      </c>
      <c r="E25" s="66">
        <v>859.41973008800005</v>
      </c>
      <c r="F25" s="66">
        <v>3701.9763470040002</v>
      </c>
      <c r="S25" t="s">
        <v>91</v>
      </c>
      <c r="T25" s="66">
        <f>VLOOKUP(MAX(A34:A39),$A$34:$H$39,7,0)</f>
        <v>5920.8174765230006</v>
      </c>
      <c r="U25" s="66">
        <f>VLOOKUP(MAX(A34:A39)-1,$A$34:$H$39,7,0)</f>
        <v>5790.0458914210003</v>
      </c>
      <c r="V25" s="189">
        <f t="shared" si="0"/>
        <v>2.2585586980538697E-2</v>
      </c>
    </row>
    <row r="26" spans="1:22" ht="15.75" x14ac:dyDescent="0.25">
      <c r="A26" s="68">
        <v>2023</v>
      </c>
      <c r="B26" s="66">
        <v>28584.110925614998</v>
      </c>
      <c r="C26" s="66">
        <v>20832.403744930001</v>
      </c>
      <c r="D26" s="66">
        <v>2520.5891877599997</v>
      </c>
      <c r="E26" s="66">
        <v>992.19094360000008</v>
      </c>
      <c r="F26" s="66">
        <v>4238.9270493250006</v>
      </c>
      <c r="I26" s="169"/>
      <c r="S26" t="s">
        <v>39</v>
      </c>
      <c r="T26" s="66">
        <f>VLOOKUP(MAX(A34:A39),$A$34:$H$39,8,0)</f>
        <v>1282.791073328</v>
      </c>
      <c r="U26" s="66">
        <f>VLOOKUP(MAX(A34:A39)-1,$A$34:$H$39,8,0)</f>
        <v>1129.5742079400002</v>
      </c>
      <c r="V26" s="189">
        <f t="shared" si="0"/>
        <v>0.1356412569541765</v>
      </c>
    </row>
    <row r="27" spans="1:22" ht="15.75" x14ac:dyDescent="0.25">
      <c r="A27" s="68">
        <v>2024</v>
      </c>
      <c r="B27" s="66">
        <v>33804.319605851997</v>
      </c>
      <c r="C27" s="66">
        <v>25356.114285661002</v>
      </c>
      <c r="D27" s="66">
        <v>2161.662799058</v>
      </c>
      <c r="E27" s="66">
        <v>1220.537854682</v>
      </c>
      <c r="F27" s="66">
        <v>5066.004666451</v>
      </c>
      <c r="S27" t="s">
        <v>124</v>
      </c>
      <c r="T27" s="66">
        <f>VLOOKUP(MAX(A44:A49),$A$44:$F$49,2,0)</f>
        <v>3702.7152626309999</v>
      </c>
      <c r="U27" s="66">
        <f>VLOOKUP(MAX(A44:A49)-1,$A$44:$F$49,2,0)</f>
        <v>4046.8997922059998</v>
      </c>
      <c r="V27" s="190">
        <f t="shared" si="0"/>
        <v>-8.5048938013704056E-2</v>
      </c>
    </row>
    <row r="28" spans="1:22" ht="15.75" x14ac:dyDescent="0.25">
      <c r="S28" t="s">
        <v>125</v>
      </c>
      <c r="T28" s="66">
        <f>VLOOKUP(MAX(A44:A49),$A$44:$F$49,3,0)</f>
        <v>495.02079358964147</v>
      </c>
      <c r="U28" s="65">
        <f>VLOOKUP(MAX(A44:A49)-1,$A$44:$F$49,3,0)</f>
        <v>558.89257045024101</v>
      </c>
      <c r="V28" s="189">
        <f t="shared" si="0"/>
        <v>-0.11428274455168508</v>
      </c>
    </row>
    <row r="29" spans="1:22" ht="15.75" x14ac:dyDescent="0.25">
      <c r="S29" t="s">
        <v>126</v>
      </c>
      <c r="T29" s="183">
        <f>VLOOKUP(MAX(A44:A49),$A$44:$F$49,4,0)/100</f>
        <v>1.1075946570709139E-2</v>
      </c>
      <c r="U29" s="183">
        <f>VLOOKUP(MAX(A44:A49)-1,$A$44:$F$49,4,0)/100</f>
        <v>1.2925472198149102E-2</v>
      </c>
      <c r="V29" s="189">
        <f t="shared" si="0"/>
        <v>-0.14309153267954189</v>
      </c>
    </row>
    <row r="30" spans="1:22" ht="15.75" x14ac:dyDescent="0.25">
      <c r="S30" t="s">
        <v>127</v>
      </c>
      <c r="T30" s="183">
        <f>ABS(VLOOKUP(MAX(A54:A130),$A$54:$E$130,4,0))/100</f>
        <v>2.4546416213533685E-2</v>
      </c>
      <c r="U30" s="183">
        <f>ABS(VLOOKUP(MAX(A54:A139)-1,$A$54:$E$139,4,0))/100</f>
        <v>2.5512214677677284E-2</v>
      </c>
      <c r="V30" s="189">
        <f t="shared" si="0"/>
        <v>-3.7856316135057244E-2</v>
      </c>
    </row>
    <row r="31" spans="1:22" ht="15.75" x14ac:dyDescent="0.25">
      <c r="A31" s="67" t="s">
        <v>67</v>
      </c>
      <c r="B31" t="s">
        <v>207</v>
      </c>
      <c r="S31" t="s">
        <v>128</v>
      </c>
      <c r="T31" s="66">
        <f>VLOOKUP(MAX(A44:A49),$A$44:$F$49,5,0)</f>
        <v>362.45671124638648</v>
      </c>
      <c r="U31" s="65">
        <f>VLOOKUP(MAX(A44:A49)-1,$A$44:$F$49,5,0)</f>
        <v>434.79437144764694</v>
      </c>
      <c r="V31" s="189">
        <f t="shared" si="0"/>
        <v>-0.16637211737680135</v>
      </c>
    </row>
    <row r="32" spans="1:22" ht="15.75" x14ac:dyDescent="0.25">
      <c r="S32" t="s">
        <v>129</v>
      </c>
      <c r="T32" s="193">
        <f>VLOOKUP(MAX(A44:A49),$A$44:$F$49,6,0)</f>
        <v>132.56408234325497</v>
      </c>
      <c r="U32" s="66">
        <f>VLOOKUP(MAX(A44:A49)-1,$A$44:$F$49,6,0)</f>
        <v>124.09819900259403</v>
      </c>
      <c r="V32" s="189">
        <f t="shared" si="0"/>
        <v>6.821922806860381E-2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0.73220502237498541</v>
      </c>
      <c r="U33" s="185">
        <f>+U31/U28</f>
        <v>0.77795697140396558</v>
      </c>
      <c r="V33" s="191"/>
    </row>
    <row r="34" spans="1:22" x14ac:dyDescent="0.25">
      <c r="A34" s="68">
        <v>2021</v>
      </c>
      <c r="B34" s="66">
        <v>23149.377562587</v>
      </c>
      <c r="C34" s="66">
        <v>10851.016104053999</v>
      </c>
      <c r="D34" s="66">
        <v>2555.1917244780002</v>
      </c>
      <c r="E34" s="66">
        <v>1806.4061370760003</v>
      </c>
      <c r="F34" s="66">
        <v>2863.5339346599999</v>
      </c>
      <c r="G34" s="66">
        <v>4080.8224723580001</v>
      </c>
      <c r="H34" s="66">
        <v>992.40718996100009</v>
      </c>
      <c r="S34" t="s">
        <v>131</v>
      </c>
      <c r="T34" s="185">
        <f>+T32/T28</f>
        <v>0.26779497762501453</v>
      </c>
      <c r="U34" s="185">
        <f>+U32/U28</f>
        <v>0.22204302859603439</v>
      </c>
      <c r="V34" s="191"/>
    </row>
    <row r="35" spans="1:22" x14ac:dyDescent="0.25">
      <c r="A35" s="68">
        <v>2022</v>
      </c>
      <c r="B35" s="66">
        <v>24960.988536127999</v>
      </c>
      <c r="C35" s="66">
        <v>11579.850676202001</v>
      </c>
      <c r="D35" s="66">
        <v>2522.1995291270005</v>
      </c>
      <c r="E35" s="66">
        <v>2005.800911198</v>
      </c>
      <c r="F35" s="66">
        <v>2875.1460872360003</v>
      </c>
      <c r="G35" s="66">
        <v>4783.2228623720002</v>
      </c>
      <c r="H35" s="66">
        <v>1194.7684699930001</v>
      </c>
    </row>
    <row r="36" spans="1:22" x14ac:dyDescent="0.25">
      <c r="A36" s="68">
        <v>2023</v>
      </c>
      <c r="B36" s="66">
        <v>28761.281179672998</v>
      </c>
      <c r="C36" s="66">
        <v>12489.859790742001</v>
      </c>
      <c r="D36" s="66">
        <v>3359.0391561049996</v>
      </c>
      <c r="E36" s="66">
        <v>2804.5375461130002</v>
      </c>
      <c r="F36" s="66">
        <v>3188.2245873520005</v>
      </c>
      <c r="G36" s="66">
        <v>5790.0458914210003</v>
      </c>
      <c r="H36" s="66">
        <v>1129.5742079400002</v>
      </c>
    </row>
    <row r="37" spans="1:22" ht="15.75" x14ac:dyDescent="0.25">
      <c r="A37" s="68">
        <v>2024</v>
      </c>
      <c r="B37" s="66">
        <v>32916.082647315998</v>
      </c>
      <c r="C37" s="66">
        <v>13410.609495988003</v>
      </c>
      <c r="D37" s="66">
        <v>4577.4929397729993</v>
      </c>
      <c r="E37" s="66">
        <v>3919.8443084259998</v>
      </c>
      <c r="F37" s="66">
        <v>3804.5273532780002</v>
      </c>
      <c r="G37" s="66">
        <v>5920.8174765230006</v>
      </c>
      <c r="H37" s="66">
        <v>1282.791073328</v>
      </c>
      <c r="S37" t="s">
        <v>205</v>
      </c>
      <c r="T37" s="227">
        <f>VLOOKUP(MAX(F140:F200),$F$140:$H$200,3,0)</f>
        <v>7920.2509907469994</v>
      </c>
      <c r="U37" s="227">
        <f>VLOOKUP(MAX(F140:F200)-1,$F$140:$H$200,3,0)</f>
        <v>7734.1455853179996</v>
      </c>
      <c r="V37" s="189">
        <f>T37/U37-1</f>
        <v>2.4062826769422285E-2</v>
      </c>
    </row>
    <row r="38" spans="1:22" ht="15.75" x14ac:dyDescent="0.25">
      <c r="S38" t="s">
        <v>206</v>
      </c>
      <c r="T38" s="222">
        <f>T37*1000/Aux!$I$24</f>
        <v>1321.1427841112593</v>
      </c>
      <c r="U38" s="222">
        <f>U37*1000/Aux!$I$24</f>
        <v>1290.0993470088406</v>
      </c>
      <c r="V38" s="190">
        <f>T38/U38-1</f>
        <v>2.4062826769422507E-2</v>
      </c>
    </row>
    <row r="39" spans="1:22" ht="15.75" x14ac:dyDescent="0.25">
      <c r="S39" t="s">
        <v>209</v>
      </c>
      <c r="T39" s="222">
        <f>VLOOKUP(MAX(A140:A179),$A$140:$C$179,3,0)</f>
        <v>838.9396146748519</v>
      </c>
      <c r="U39" s="222">
        <f>VLOOKUP(MAX(A140:A179)-1,$A$140:$C$179,3,0)</f>
        <v>755.67143774820249</v>
      </c>
      <c r="V39" s="190">
        <f t="shared" ref="V39" si="1">IFERROR(T39/U39-1,0)</f>
        <v>0.11019098085111856</v>
      </c>
    </row>
    <row r="41" spans="1:22" x14ac:dyDescent="0.25">
      <c r="A41" s="67" t="s">
        <v>67</v>
      </c>
      <c r="B41" t="s">
        <v>207</v>
      </c>
      <c r="T41" s="226">
        <f>T38-T39</f>
        <v>482.20316943640739</v>
      </c>
      <c r="U41" s="226">
        <f>U38-U39</f>
        <v>534.4279092606381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0.63501055659113459</v>
      </c>
    </row>
    <row r="44" spans="1:22" x14ac:dyDescent="0.25">
      <c r="A44" s="68">
        <v>2021</v>
      </c>
      <c r="B44" s="66">
        <v>3964.0320512369995</v>
      </c>
      <c r="C44" s="65">
        <v>590.39614320125054</v>
      </c>
      <c r="D44" s="66">
        <v>1.4647211997269185</v>
      </c>
      <c r="E44" s="65">
        <v>466.5304192573376</v>
      </c>
      <c r="F44" s="65">
        <v>123.8657239439129</v>
      </c>
      <c r="T44" s="70">
        <f>T41/T38</f>
        <v>0.36498944340886541</v>
      </c>
    </row>
    <row r="45" spans="1:22" x14ac:dyDescent="0.25">
      <c r="A45" s="68">
        <v>2022</v>
      </c>
      <c r="B45" s="66">
        <v>4692.1265361649721</v>
      </c>
      <c r="C45" s="65">
        <v>680.24249118516684</v>
      </c>
      <c r="D45" s="66">
        <v>1.6016992548311835</v>
      </c>
      <c r="E45" s="65">
        <v>508.7835283514591</v>
      </c>
      <c r="F45" s="65">
        <v>171.45896283370777</v>
      </c>
    </row>
    <row r="46" spans="1:22" x14ac:dyDescent="0.25">
      <c r="A46" s="68">
        <v>2023</v>
      </c>
      <c r="B46" s="66">
        <v>4046.8997922059998</v>
      </c>
      <c r="C46" s="65">
        <v>558.89257045024101</v>
      </c>
      <c r="D46" s="66">
        <v>1.2925472198149102</v>
      </c>
      <c r="E46" s="65">
        <v>434.79437144764694</v>
      </c>
      <c r="F46" s="65">
        <v>124.09819900259403</v>
      </c>
      <c r="I46" s="169"/>
    </row>
    <row r="47" spans="1:22" x14ac:dyDescent="0.25">
      <c r="A47" s="68">
        <v>2024</v>
      </c>
      <c r="B47" s="66">
        <v>3702.7152626309999</v>
      </c>
      <c r="C47" s="65">
        <v>495.02079358964147</v>
      </c>
      <c r="D47" s="66">
        <v>1.1075946570709139</v>
      </c>
      <c r="E47" s="65">
        <v>362.45671124638648</v>
      </c>
      <c r="F47" s="65">
        <v>132.56408234325497</v>
      </c>
      <c r="J47" s="169"/>
    </row>
    <row r="51" spans="1:17" x14ac:dyDescent="0.25">
      <c r="A51" s="67" t="s">
        <v>67</v>
      </c>
      <c r="B51" t="s">
        <v>207</v>
      </c>
      <c r="G51" s="67" t="s">
        <v>67</v>
      </c>
      <c r="H51" t="s">
        <v>207</v>
      </c>
    </row>
    <row r="52" spans="1:17" x14ac:dyDescent="0.25">
      <c r="M52" s="67" t="s">
        <v>67</v>
      </c>
      <c r="N52" t="s">
        <v>207</v>
      </c>
    </row>
    <row r="53" spans="1:17" ht="45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8</v>
      </c>
      <c r="C54" s="66">
        <v>-0.86005432582588703</v>
      </c>
      <c r="D54" s="66">
        <v>3.182670781776582</v>
      </c>
      <c r="E54" s="66">
        <v>-4.0427251076024699</v>
      </c>
      <c r="G54">
        <v>2021</v>
      </c>
      <c r="H54" s="69">
        <v>8</v>
      </c>
      <c r="I54" s="66">
        <v>-287.92564123568104</v>
      </c>
      <c r="J54" s="66">
        <v>-1469.3732387993389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7</v>
      </c>
      <c r="C55" s="66">
        <v>-0.8350561560934</v>
      </c>
      <c r="D55" s="66">
        <v>3.1906272190042539</v>
      </c>
      <c r="E55" s="66">
        <v>-4.0256833750976542</v>
      </c>
      <c r="G55">
        <v>2021</v>
      </c>
      <c r="H55" s="69">
        <v>7</v>
      </c>
      <c r="I55" s="66">
        <v>-272.93534989324479</v>
      </c>
      <c r="J55" s="66">
        <v>-1448.4711988725564</v>
      </c>
      <c r="M55">
        <v>2021</v>
      </c>
      <c r="N55" s="69">
        <v>8</v>
      </c>
      <c r="O55" s="66">
        <v>-0.13960823806404399</v>
      </c>
      <c r="P55" s="66">
        <v>0.18998836336697567</v>
      </c>
      <c r="Q55" s="66">
        <v>-0.32959660143101965</v>
      </c>
    </row>
    <row r="56" spans="1:17" x14ac:dyDescent="0.25">
      <c r="A56">
        <v>2021</v>
      </c>
      <c r="B56" s="69">
        <v>6</v>
      </c>
      <c r="C56" s="66">
        <v>-0.98404871120089521</v>
      </c>
      <c r="D56" s="66">
        <v>3.24096536937112</v>
      </c>
      <c r="E56" s="66">
        <v>-4.2250140805720156</v>
      </c>
      <c r="G56">
        <v>2021</v>
      </c>
      <c r="H56" s="69">
        <v>6</v>
      </c>
      <c r="I56" s="66">
        <v>-326.23454422619477</v>
      </c>
      <c r="J56" s="66">
        <v>-1507.4998144580104</v>
      </c>
      <c r="M56">
        <v>2021</v>
      </c>
      <c r="N56" s="69">
        <v>7</v>
      </c>
      <c r="O56" s="66">
        <v>3.1553413938215313E-2</v>
      </c>
      <c r="P56" s="66">
        <v>0.24768688733110816</v>
      </c>
      <c r="Q56" s="66">
        <v>-0.21613347339289285</v>
      </c>
    </row>
    <row r="57" spans="1:17" x14ac:dyDescent="0.25">
      <c r="A57">
        <v>2021</v>
      </c>
      <c r="B57" s="69">
        <v>5</v>
      </c>
      <c r="C57" s="66">
        <v>-1.1323181563350462</v>
      </c>
      <c r="D57" s="66">
        <v>3.2825424134534669</v>
      </c>
      <c r="E57" s="66">
        <v>-4.4148605697885133</v>
      </c>
      <c r="G57">
        <v>2021</v>
      </c>
      <c r="H57" s="69">
        <v>5</v>
      </c>
      <c r="I57" s="66">
        <v>-381.82423380740869</v>
      </c>
      <c r="J57" s="66">
        <v>-1568.2411732513372</v>
      </c>
      <c r="M57">
        <v>2021</v>
      </c>
      <c r="N57" s="69">
        <v>6</v>
      </c>
      <c r="O57" s="66">
        <v>5.8764962857620028E-2</v>
      </c>
      <c r="P57" s="66">
        <v>0.22268886267905927</v>
      </c>
      <c r="Q57" s="66">
        <v>-0.16392389982143926</v>
      </c>
    </row>
    <row r="58" spans="1:17" x14ac:dyDescent="0.25">
      <c r="A58">
        <v>2021</v>
      </c>
      <c r="B58" s="69">
        <v>4</v>
      </c>
      <c r="C58" s="66">
        <v>-1.5190317340745823</v>
      </c>
      <c r="D58" s="66">
        <v>3.3394695921484243</v>
      </c>
      <c r="E58" s="66">
        <v>-4.8585013262230063</v>
      </c>
      <c r="G58">
        <v>2021</v>
      </c>
      <c r="H58" s="69">
        <v>4</v>
      </c>
      <c r="I58" s="66">
        <v>-526.87735616174552</v>
      </c>
      <c r="J58" s="66">
        <v>-1727.6071330393333</v>
      </c>
      <c r="M58">
        <v>2021</v>
      </c>
      <c r="N58" s="69">
        <v>5</v>
      </c>
      <c r="O58" s="66">
        <v>0.10971609088774859</v>
      </c>
      <c r="P58" s="66">
        <v>0.16527921650776339</v>
      </c>
      <c r="Q58" s="66">
        <v>-5.5563125620014822E-2</v>
      </c>
    </row>
    <row r="59" spans="1:17" x14ac:dyDescent="0.25">
      <c r="A59">
        <v>2021</v>
      </c>
      <c r="B59" s="69">
        <v>3</v>
      </c>
      <c r="C59" s="66">
        <v>-2.2757067387487586</v>
      </c>
      <c r="D59" s="66">
        <v>3.388681978254926</v>
      </c>
      <c r="E59" s="66">
        <v>-5.6643887170036837</v>
      </c>
      <c r="G59">
        <v>2021</v>
      </c>
      <c r="H59" s="69">
        <v>3</v>
      </c>
      <c r="I59" s="66">
        <v>-807.53736374598134</v>
      </c>
      <c r="J59" s="66">
        <v>-2015.0648164228842</v>
      </c>
      <c r="M59">
        <v>2021</v>
      </c>
      <c r="N59" s="69">
        <v>4</v>
      </c>
      <c r="O59" s="66">
        <v>3.3717609715727154E-2</v>
      </c>
      <c r="P59" s="66">
        <v>0.21139847352624791</v>
      </c>
      <c r="Q59" s="66">
        <v>-0.17768086381052078</v>
      </c>
    </row>
    <row r="60" spans="1:17" x14ac:dyDescent="0.25">
      <c r="A60">
        <v>2021</v>
      </c>
      <c r="B60" s="69">
        <v>2</v>
      </c>
      <c r="C60" s="66">
        <v>-2.2796600260864821</v>
      </c>
      <c r="D60" s="66">
        <v>3.6387685894982349</v>
      </c>
      <c r="E60" s="66">
        <v>-5.918428615584717</v>
      </c>
      <c r="G60">
        <v>2021</v>
      </c>
      <c r="H60" s="69">
        <v>2</v>
      </c>
      <c r="I60" s="66">
        <v>-799.02795861134098</v>
      </c>
      <c r="J60" s="66">
        <v>-2087.8332894796749</v>
      </c>
      <c r="M60">
        <v>2021</v>
      </c>
      <c r="N60" s="69">
        <v>3</v>
      </c>
      <c r="O60" s="66">
        <v>-0.20296140640904467</v>
      </c>
      <c r="P60" s="66">
        <v>0.20299257096425588</v>
      </c>
      <c r="Q60" s="66">
        <v>-0.40595397737330058</v>
      </c>
    </row>
    <row r="61" spans="1:17" x14ac:dyDescent="0.25">
      <c r="A61">
        <v>2021</v>
      </c>
      <c r="B61" s="69">
        <v>1</v>
      </c>
      <c r="C61" s="66">
        <v>-2.2452141807758346</v>
      </c>
      <c r="D61" s="66">
        <v>3.6813365822153297</v>
      </c>
      <c r="E61" s="66">
        <v>-5.9265507629911642</v>
      </c>
      <c r="G61">
        <v>2021</v>
      </c>
      <c r="H61" s="69">
        <v>1</v>
      </c>
      <c r="I61" s="66">
        <v>-786.51124431854475</v>
      </c>
      <c r="J61" s="66">
        <v>-2087.6874145614274</v>
      </c>
      <c r="M61">
        <v>2021</v>
      </c>
      <c r="N61" s="69">
        <v>2</v>
      </c>
      <c r="O61" s="66">
        <v>4.4847703412539989E-3</v>
      </c>
      <c r="P61" s="66">
        <v>9.4917217302481857E-2</v>
      </c>
      <c r="Q61" s="66">
        <v>-9.0432446961227861E-2</v>
      </c>
    </row>
    <row r="62" spans="1:17" x14ac:dyDescent="0.25">
      <c r="A62">
        <v>2022</v>
      </c>
      <c r="B62" s="69">
        <v>8</v>
      </c>
      <c r="C62" s="66">
        <v>-0.25070072738387339</v>
      </c>
      <c r="D62" s="66">
        <v>3.0476263819098373</v>
      </c>
      <c r="E62" s="66">
        <v>-3.2983271092937101</v>
      </c>
      <c r="G62">
        <v>2022</v>
      </c>
      <c r="H62" s="69">
        <v>8</v>
      </c>
      <c r="I62" s="66">
        <v>-78.637451980203693</v>
      </c>
      <c r="J62" s="66">
        <v>-1329.6817971705307</v>
      </c>
      <c r="M62">
        <v>2021</v>
      </c>
      <c r="N62" s="69">
        <v>1</v>
      </c>
      <c r="O62" s="66">
        <v>0.31369682060727627</v>
      </c>
      <c r="P62" s="66">
        <v>0.12976960804902637</v>
      </c>
      <c r="Q62" s="66">
        <v>0.18392721255824993</v>
      </c>
    </row>
    <row r="63" spans="1:17" x14ac:dyDescent="0.25">
      <c r="A63">
        <v>2022</v>
      </c>
      <c r="B63" s="69">
        <v>7</v>
      </c>
      <c r="C63" s="66">
        <v>-0.33664472365278097</v>
      </c>
      <c r="D63" s="66">
        <v>3.0257848689054208</v>
      </c>
      <c r="E63" s="66">
        <v>-3.3624295925582008</v>
      </c>
      <c r="G63">
        <v>2022</v>
      </c>
      <c r="H63" s="69">
        <v>7</v>
      </c>
      <c r="I63" s="66">
        <v>-110.31752991195648</v>
      </c>
      <c r="J63" s="66">
        <v>-1345.3264688171917</v>
      </c>
      <c r="M63">
        <v>2022</v>
      </c>
      <c r="N63" s="69">
        <v>8</v>
      </c>
      <c r="O63" s="66">
        <v>-5.3664241795136597E-2</v>
      </c>
      <c r="P63" s="66">
        <v>0.21182987637139239</v>
      </c>
      <c r="Q63" s="66">
        <v>-0.26549411816652896</v>
      </c>
    </row>
    <row r="64" spans="1:17" x14ac:dyDescent="0.25">
      <c r="A64">
        <v>2022</v>
      </c>
      <c r="B64" s="69">
        <v>6</v>
      </c>
      <c r="C64" s="66">
        <v>-0.42815907212722759</v>
      </c>
      <c r="D64" s="66">
        <v>3.0663257534558714</v>
      </c>
      <c r="E64" s="66">
        <v>-3.4944848255830987</v>
      </c>
      <c r="G64">
        <v>2022</v>
      </c>
      <c r="H64" s="69">
        <v>6</v>
      </c>
      <c r="I64" s="66">
        <v>-150.33814591519484</v>
      </c>
      <c r="J64" s="66">
        <v>-1394.8798770879039</v>
      </c>
      <c r="M64">
        <v>2022</v>
      </c>
      <c r="N64" s="69">
        <v>7</v>
      </c>
      <c r="O64" s="66">
        <v>0.12306776241266205</v>
      </c>
      <c r="P64" s="66">
        <v>0.20714600278065745</v>
      </c>
      <c r="Q64" s="66">
        <v>-8.4078240367995369E-2</v>
      </c>
    </row>
    <row r="65" spans="1:17" x14ac:dyDescent="0.25">
      <c r="A65">
        <v>2022</v>
      </c>
      <c r="B65" s="69">
        <v>5</v>
      </c>
      <c r="C65" s="66">
        <v>-0.37883976814855425</v>
      </c>
      <c r="D65" s="66">
        <v>3.0345007580169532</v>
      </c>
      <c r="E65" s="66">
        <v>-3.4133405261655079</v>
      </c>
      <c r="G65">
        <v>2022</v>
      </c>
      <c r="H65" s="69">
        <v>5</v>
      </c>
      <c r="I65" s="66">
        <v>-130.79255028950266</v>
      </c>
      <c r="J65" s="66">
        <v>-1355.9750663708678</v>
      </c>
      <c r="M65">
        <v>2022</v>
      </c>
      <c r="N65" s="69">
        <v>6</v>
      </c>
      <c r="O65" s="66">
        <v>9.4456588789467756E-3</v>
      </c>
      <c r="P65" s="66">
        <v>0.25451385811797683</v>
      </c>
      <c r="Q65" s="66">
        <v>-0.24506819923903012</v>
      </c>
    </row>
    <row r="66" spans="1:17" x14ac:dyDescent="0.25">
      <c r="A66">
        <v>2022</v>
      </c>
      <c r="B66" s="69">
        <v>4</v>
      </c>
      <c r="C66" s="66">
        <v>-0.6250164517986545</v>
      </c>
      <c r="D66" s="66">
        <v>3.047477203276892</v>
      </c>
      <c r="E66" s="66">
        <v>-3.6724936550755474</v>
      </c>
      <c r="G66">
        <v>2022</v>
      </c>
      <c r="H66" s="69">
        <v>4</v>
      </c>
      <c r="I66" s="66">
        <v>-238.72818434647192</v>
      </c>
      <c r="J66" s="66">
        <v>-1465.3922928739375</v>
      </c>
      <c r="M66">
        <v>2022</v>
      </c>
      <c r="N66" s="69">
        <v>5</v>
      </c>
      <c r="O66" s="66">
        <v>0.35589277453784884</v>
      </c>
      <c r="P66" s="66">
        <v>0.15230277124782468</v>
      </c>
      <c r="Q66" s="66">
        <v>0.20359000329002422</v>
      </c>
    </row>
    <row r="67" spans="1:17" x14ac:dyDescent="0.25">
      <c r="A67">
        <v>2022</v>
      </c>
      <c r="B67" s="69">
        <v>3</v>
      </c>
      <c r="C67" s="66">
        <v>-0.85026253902021987</v>
      </c>
      <c r="D67" s="66">
        <v>3.0419265904024613</v>
      </c>
      <c r="E67" s="66">
        <v>-3.892189129422682</v>
      </c>
      <c r="G67">
        <v>2022</v>
      </c>
      <c r="H67" s="69">
        <v>3</v>
      </c>
      <c r="I67" s="66">
        <v>-335.21103551015653</v>
      </c>
      <c r="J67" s="66">
        <v>-1558.3642810772137</v>
      </c>
      <c r="M67">
        <v>2022</v>
      </c>
      <c r="N67" s="69">
        <v>4</v>
      </c>
      <c r="O67" s="66">
        <v>0.25896369693729232</v>
      </c>
      <c r="P67" s="66">
        <v>0.21694908640067806</v>
      </c>
      <c r="Q67" s="66">
        <v>4.2014610536614254E-2</v>
      </c>
    </row>
    <row r="68" spans="1:17" x14ac:dyDescent="0.25">
      <c r="A68">
        <v>2022</v>
      </c>
      <c r="B68" s="69">
        <v>2</v>
      </c>
      <c r="C68" s="66">
        <v>-0.83436511810483194</v>
      </c>
      <c r="D68" s="66">
        <v>2.9777341716657286</v>
      </c>
      <c r="E68" s="66">
        <v>-3.8120992897705612</v>
      </c>
      <c r="G68">
        <v>2022</v>
      </c>
      <c r="H68" s="69">
        <v>2</v>
      </c>
      <c r="I68" s="66">
        <v>-327.12354264265701</v>
      </c>
      <c r="J68" s="66">
        <v>-1521.8702839373198</v>
      </c>
      <c r="M68">
        <v>2022</v>
      </c>
      <c r="N68" s="69">
        <v>3</v>
      </c>
      <c r="O68" s="66">
        <v>-0.21885882732443246</v>
      </c>
      <c r="P68" s="66">
        <v>0.26718498970098908</v>
      </c>
      <c r="Q68" s="66">
        <v>-0.4860438170254216</v>
      </c>
    </row>
    <row r="69" spans="1:17" x14ac:dyDescent="0.25">
      <c r="A69">
        <v>2022</v>
      </c>
      <c r="B69" s="69">
        <v>1</v>
      </c>
      <c r="C69" s="66">
        <v>-0.86763090916914043</v>
      </c>
      <c r="D69" s="66">
        <v>2.8322228675670016</v>
      </c>
      <c r="E69" s="66">
        <v>-3.699853776736143</v>
      </c>
      <c r="G69">
        <v>2022</v>
      </c>
      <c r="H69" s="69">
        <v>1</v>
      </c>
      <c r="I69" s="66">
        <v>-341.19344402078883</v>
      </c>
      <c r="J69" s="66">
        <v>-1473.0410415566998</v>
      </c>
      <c r="M69">
        <v>2022</v>
      </c>
      <c r="N69" s="69">
        <v>2</v>
      </c>
      <c r="O69" s="66">
        <v>3.7750561405562565E-2</v>
      </c>
      <c r="P69" s="66">
        <v>0.24042852140120863</v>
      </c>
      <c r="Q69" s="66">
        <v>-0.20267795999564603</v>
      </c>
    </row>
    <row r="70" spans="1:17" x14ac:dyDescent="0.25">
      <c r="A70">
        <v>2023</v>
      </c>
      <c r="B70" s="69">
        <v>8</v>
      </c>
      <c r="C70" s="66">
        <v>-0.80879773332479399</v>
      </c>
      <c r="D70" s="66">
        <v>2.5512214677677285</v>
      </c>
      <c r="E70" s="66">
        <v>-3.3600192010925229</v>
      </c>
      <c r="G70">
        <v>2023</v>
      </c>
      <c r="H70" s="69">
        <v>8</v>
      </c>
      <c r="I70" s="66">
        <v>-328.83659080227943</v>
      </c>
      <c r="J70" s="66">
        <v>-1402.5917544149304</v>
      </c>
      <c r="M70">
        <v>2022</v>
      </c>
      <c r="N70" s="69">
        <v>1</v>
      </c>
      <c r="O70" s="66">
        <v>0.16636340742350667</v>
      </c>
      <c r="P70" s="66">
        <v>5.1344148810456444E-2</v>
      </c>
      <c r="Q70" s="66">
        <v>0.11501925861305022</v>
      </c>
    </row>
    <row r="71" spans="1:17" x14ac:dyDescent="0.25">
      <c r="A71">
        <v>2023</v>
      </c>
      <c r="B71" s="69">
        <v>7</v>
      </c>
      <c r="C71" s="66">
        <v>-0.81656748460622064</v>
      </c>
      <c r="D71" s="66">
        <v>2.6514060576605321</v>
      </c>
      <c r="E71" s="66">
        <v>-3.467973542266753</v>
      </c>
      <c r="G71">
        <v>2023</v>
      </c>
      <c r="H71" s="69">
        <v>7</v>
      </c>
      <c r="I71" s="66">
        <v>-331.94831425324514</v>
      </c>
      <c r="J71" s="66">
        <v>-1447.9111310434982</v>
      </c>
      <c r="M71">
        <v>2023</v>
      </c>
      <c r="N71" s="69">
        <v>8</v>
      </c>
      <c r="O71" s="66">
        <v>-4.5894490513710091E-2</v>
      </c>
      <c r="P71" s="66">
        <v>0.11164528647858857</v>
      </c>
      <c r="Q71" s="66">
        <v>-0.15753977699229865</v>
      </c>
    </row>
    <row r="72" spans="1:17" x14ac:dyDescent="0.25">
      <c r="A72">
        <v>2023</v>
      </c>
      <c r="B72" s="69">
        <v>6</v>
      </c>
      <c r="C72" s="66">
        <v>-0.81963403826587911</v>
      </c>
      <c r="D72" s="66">
        <v>2.6659970735223282</v>
      </c>
      <c r="E72" s="66">
        <v>-3.4856311117882077</v>
      </c>
      <c r="G72">
        <v>2023</v>
      </c>
      <c r="H72" s="69">
        <v>6</v>
      </c>
      <c r="I72" s="66">
        <v>-333.75995523376588</v>
      </c>
      <c r="J72" s="66">
        <v>-1455.177102280602</v>
      </c>
      <c r="M72">
        <v>2023</v>
      </c>
      <c r="N72" s="69">
        <v>7</v>
      </c>
      <c r="O72" s="66">
        <v>0.12613431607232062</v>
      </c>
      <c r="P72" s="66">
        <v>0.192554986918861</v>
      </c>
      <c r="Q72" s="66">
        <v>-6.6420670846540381E-2</v>
      </c>
    </row>
    <row r="73" spans="1:17" x14ac:dyDescent="0.25">
      <c r="A73">
        <v>2023</v>
      </c>
      <c r="B73" s="69">
        <v>5</v>
      </c>
      <c r="C73" s="66">
        <v>-0.90244097048478511</v>
      </c>
      <c r="D73" s="66">
        <v>2.8143994682729501</v>
      </c>
      <c r="E73" s="66">
        <v>-3.7168404387577354</v>
      </c>
      <c r="G73">
        <v>2023</v>
      </c>
      <c r="H73" s="69">
        <v>5</v>
      </c>
      <c r="I73" s="66">
        <v>-369.55582741610658</v>
      </c>
      <c r="J73" s="66">
        <v>-1553.8752427743996</v>
      </c>
      <c r="M73">
        <v>2023</v>
      </c>
      <c r="N73" s="69">
        <v>6</v>
      </c>
      <c r="O73" s="66">
        <v>9.2252591097852624E-2</v>
      </c>
      <c r="P73" s="66">
        <v>0.1061114633673555</v>
      </c>
      <c r="Q73" s="66">
        <v>-1.3858872269502867E-2</v>
      </c>
    </row>
    <row r="74" spans="1:17" x14ac:dyDescent="0.25">
      <c r="A74">
        <v>2023</v>
      </c>
      <c r="B74" s="69">
        <v>4</v>
      </c>
      <c r="C74" s="66">
        <v>-0.71130827166834409</v>
      </c>
      <c r="D74" s="66">
        <v>2.8505486631893722</v>
      </c>
      <c r="E74" s="66">
        <v>-3.5618569348577167</v>
      </c>
      <c r="G74">
        <v>2023</v>
      </c>
      <c r="H74" s="69">
        <v>4</v>
      </c>
      <c r="I74" s="66">
        <v>-288.98710879564743</v>
      </c>
      <c r="J74" s="66">
        <v>-1487.9577678089936</v>
      </c>
      <c r="M74">
        <v>2023</v>
      </c>
      <c r="N74" s="69">
        <v>5</v>
      </c>
      <c r="O74" s="66">
        <v>0.16476007572140777</v>
      </c>
      <c r="P74" s="66">
        <v>0.11615357633140218</v>
      </c>
      <c r="Q74" s="66">
        <v>4.8606499390005595E-2</v>
      </c>
    </row>
    <row r="75" spans="1:17" x14ac:dyDescent="0.25">
      <c r="A75">
        <v>2023</v>
      </c>
      <c r="B75" s="69">
        <v>3</v>
      </c>
      <c r="C75" s="66">
        <v>-0.41108670117339963</v>
      </c>
      <c r="D75" s="66">
        <v>2.784225801548827</v>
      </c>
      <c r="E75" s="66">
        <v>-3.1953125027222269</v>
      </c>
      <c r="G75">
        <v>2023</v>
      </c>
      <c r="H75" s="69">
        <v>3</v>
      </c>
      <c r="I75" s="66">
        <v>-160.26152992475892</v>
      </c>
      <c r="J75" s="66">
        <v>-1328.3411021864779</v>
      </c>
      <c r="M75">
        <v>2023</v>
      </c>
      <c r="N75" s="69">
        <v>4</v>
      </c>
      <c r="O75" s="66">
        <v>-4.125787355765205E-2</v>
      </c>
      <c r="P75" s="66">
        <v>0.28327194804122341</v>
      </c>
      <c r="Q75" s="66">
        <v>-0.3245298215988755</v>
      </c>
    </row>
    <row r="76" spans="1:17" x14ac:dyDescent="0.25">
      <c r="A76">
        <v>2023</v>
      </c>
      <c r="B76" s="69">
        <v>2</v>
      </c>
      <c r="C76" s="66">
        <v>-0.41588700919773935</v>
      </c>
      <c r="D76" s="66">
        <v>2.8546997768586575</v>
      </c>
      <c r="E76" s="66">
        <v>-3.2705867860563971</v>
      </c>
      <c r="G76">
        <v>2023</v>
      </c>
      <c r="H76" s="69">
        <v>2</v>
      </c>
      <c r="I76" s="66">
        <v>-159.05804132190755</v>
      </c>
      <c r="J76" s="66">
        <v>-1353.8257223770315</v>
      </c>
      <c r="M76">
        <v>2023</v>
      </c>
      <c r="N76" s="69">
        <v>3</v>
      </c>
      <c r="O76" s="66">
        <v>-0.21405851930009281</v>
      </c>
      <c r="P76" s="66">
        <v>0.19671101439115851</v>
      </c>
      <c r="Q76" s="66">
        <v>-0.41076953369125135</v>
      </c>
    </row>
    <row r="77" spans="1:17" x14ac:dyDescent="0.25">
      <c r="A77">
        <v>2023</v>
      </c>
      <c r="B77" s="69">
        <v>1</v>
      </c>
      <c r="C77" s="66">
        <v>-0.22042148680924914</v>
      </c>
      <c r="D77" s="66">
        <v>2.9241018510267005</v>
      </c>
      <c r="E77" s="66">
        <v>-3.1445233378359494</v>
      </c>
      <c r="G77">
        <v>2023</v>
      </c>
      <c r="H77" s="69">
        <v>1</v>
      </c>
      <c r="I77" s="66">
        <v>-75.465664395214375</v>
      </c>
      <c r="J77" s="66">
        <v>-1297.9078327220973</v>
      </c>
      <c r="M77">
        <v>2023</v>
      </c>
      <c r="N77" s="69">
        <v>2</v>
      </c>
      <c r="O77" s="66">
        <v>-0.15771496098292764</v>
      </c>
      <c r="P77" s="66">
        <v>0.17102644723316596</v>
      </c>
      <c r="Q77" s="66">
        <v>-0.3287414082160936</v>
      </c>
    </row>
    <row r="78" spans="1:17" x14ac:dyDescent="0.25">
      <c r="A78">
        <v>2024</v>
      </c>
      <c r="B78" s="69">
        <v>8</v>
      </c>
      <c r="C78" s="66">
        <v>-1.1352963526807576</v>
      </c>
      <c r="D78" s="66">
        <v>2.4546416213533684</v>
      </c>
      <c r="E78" s="66">
        <v>-3.5899379740341262</v>
      </c>
      <c r="G78">
        <v>2024</v>
      </c>
      <c r="H78" s="69">
        <v>8</v>
      </c>
      <c r="I78" s="66">
        <v>-481.07259318961161</v>
      </c>
      <c r="J78" s="66">
        <v>-1548.9353783484178</v>
      </c>
      <c r="M78">
        <v>2023</v>
      </c>
      <c r="N78" s="69">
        <v>1</v>
      </c>
      <c r="O78" s="66">
        <v>1.91921083740282E-2</v>
      </c>
      <c r="P78" s="66">
        <v>0.11507249705315495</v>
      </c>
      <c r="Q78" s="66">
        <v>-9.5880388679126766E-2</v>
      </c>
    </row>
    <row r="79" spans="1:17" x14ac:dyDescent="0.25">
      <c r="A79">
        <v>2024</v>
      </c>
      <c r="B79" s="69">
        <v>7</v>
      </c>
      <c r="C79" s="66">
        <v>-0.93741862698723011</v>
      </c>
      <c r="D79" s="66">
        <v>2.3731026196809535</v>
      </c>
      <c r="E79" s="66">
        <v>-3.3105212466681841</v>
      </c>
      <c r="G79">
        <v>2024</v>
      </c>
      <c r="H79" s="69">
        <v>7</v>
      </c>
      <c r="I79" s="66">
        <v>-393.58459314631392</v>
      </c>
      <c r="J79" s="66">
        <v>-1424.5192379634011</v>
      </c>
      <c r="M79">
        <v>2024</v>
      </c>
      <c r="N79" s="69">
        <v>8</v>
      </c>
      <c r="O79" s="66">
        <v>-0.24377221620723713</v>
      </c>
      <c r="P79" s="66">
        <v>0.19318428815100352</v>
      </c>
      <c r="Q79" s="66">
        <v>-0.43695650435824063</v>
      </c>
    </row>
    <row r="80" spans="1:17" x14ac:dyDescent="0.25">
      <c r="A80">
        <v>2024</v>
      </c>
      <c r="B80" s="69">
        <v>6</v>
      </c>
      <c r="C80" s="66">
        <v>-0.8928595245749843</v>
      </c>
      <c r="D80" s="66">
        <v>2.3516965825244003</v>
      </c>
      <c r="E80" s="66">
        <v>-3.2445561070993847</v>
      </c>
      <c r="G80">
        <v>2024</v>
      </c>
      <c r="H80" s="69">
        <v>6</v>
      </c>
      <c r="I80" s="66">
        <v>-375.38058800549766</v>
      </c>
      <c r="J80" s="66">
        <v>-1394.5317963983814</v>
      </c>
      <c r="M80">
        <v>2024</v>
      </c>
      <c r="N80" s="69">
        <v>7</v>
      </c>
      <c r="O80" s="66">
        <v>8.157521366007435E-2</v>
      </c>
      <c r="P80" s="66">
        <v>0.2139610240754142</v>
      </c>
      <c r="Q80" s="66">
        <v>-0.13238581041533987</v>
      </c>
    </row>
    <row r="81" spans="1:17" x14ac:dyDescent="0.25">
      <c r="A81">
        <v>2024</v>
      </c>
      <c r="B81" s="69">
        <v>5</v>
      </c>
      <c r="C81" s="66">
        <v>-0.93548604725323059</v>
      </c>
      <c r="D81" s="66">
        <v>2.2993302999308818</v>
      </c>
      <c r="E81" s="66">
        <v>-3.2348163471841125</v>
      </c>
      <c r="G81">
        <v>2024</v>
      </c>
      <c r="H81" s="69">
        <v>5</v>
      </c>
      <c r="I81" s="66">
        <v>-395.43377333538172</v>
      </c>
      <c r="J81" s="66">
        <v>-1390.0380976051829</v>
      </c>
      <c r="M81">
        <v>2024</v>
      </c>
      <c r="N81" s="69">
        <v>6</v>
      </c>
      <c r="O81" s="66">
        <v>0.1348791137760991</v>
      </c>
      <c r="P81" s="66">
        <v>0.15847774596087411</v>
      </c>
      <c r="Q81" s="66">
        <v>-2.3598632184774985E-2</v>
      </c>
    </row>
    <row r="82" spans="1:17" x14ac:dyDescent="0.25">
      <c r="A82">
        <v>2024</v>
      </c>
      <c r="B82" s="69">
        <v>4</v>
      </c>
      <c r="C82" s="66">
        <v>-1.1132259548154455</v>
      </c>
      <c r="D82" s="66">
        <v>2.2635000324142913</v>
      </c>
      <c r="E82" s="66">
        <v>-3.376725987229737</v>
      </c>
      <c r="G82">
        <v>2024</v>
      </c>
      <c r="H82" s="69">
        <v>4</v>
      </c>
      <c r="I82" s="66">
        <v>-476.3871400632197</v>
      </c>
      <c r="J82" s="66">
        <v>-1453.7653154781431</v>
      </c>
      <c r="M82">
        <v>2024</v>
      </c>
      <c r="N82" s="69">
        <v>5</v>
      </c>
      <c r="O82" s="66">
        <v>0.34249998328362297</v>
      </c>
      <c r="P82" s="66">
        <v>0.15198384384799271</v>
      </c>
      <c r="Q82" s="66">
        <v>0.19051613943563026</v>
      </c>
    </row>
    <row r="83" spans="1:17" x14ac:dyDescent="0.25">
      <c r="A83">
        <v>2024</v>
      </c>
      <c r="B83" s="69">
        <v>3</v>
      </c>
      <c r="C83" s="66">
        <v>-1.4905866862907495</v>
      </c>
      <c r="D83" s="66">
        <v>2.3634230380995311</v>
      </c>
      <c r="E83" s="66">
        <v>-3.8540097243902807</v>
      </c>
      <c r="G83">
        <v>2024</v>
      </c>
      <c r="H83" s="69">
        <v>3</v>
      </c>
      <c r="I83" s="66">
        <v>-646.12271358222824</v>
      </c>
      <c r="J83" s="66">
        <v>-1664.3768342984815</v>
      </c>
      <c r="M83">
        <v>2024</v>
      </c>
      <c r="N83" s="69">
        <v>4</v>
      </c>
      <c r="O83" s="66">
        <v>0.33610285791765165</v>
      </c>
      <c r="P83" s="66">
        <v>0.18334894235598381</v>
      </c>
      <c r="Q83" s="66">
        <v>0.15275391556166781</v>
      </c>
    </row>
    <row r="84" spans="1:17" x14ac:dyDescent="0.25">
      <c r="A84">
        <v>2024</v>
      </c>
      <c r="B84" s="69">
        <v>2</v>
      </c>
      <c r="C84" s="66">
        <v>-1.1961887910178499</v>
      </c>
      <c r="D84" s="66">
        <v>2.4198619909435504</v>
      </c>
      <c r="E84" s="66">
        <v>-3.6160507819614005</v>
      </c>
      <c r="G84">
        <v>2024</v>
      </c>
      <c r="H84" s="69">
        <v>2</v>
      </c>
      <c r="I84" s="66">
        <v>-507.11785938269333</v>
      </c>
      <c r="J84" s="66">
        <v>-1547.0116491995877</v>
      </c>
      <c r="M84">
        <v>2024</v>
      </c>
      <c r="N84" s="69">
        <v>3</v>
      </c>
      <c r="O84" s="66">
        <v>-0.50845641457299251</v>
      </c>
      <c r="P84" s="66">
        <v>0.14027206154713892</v>
      </c>
      <c r="Q84" s="66">
        <v>-0.64872847612013151</v>
      </c>
    </row>
    <row r="85" spans="1:17" x14ac:dyDescent="0.25">
      <c r="A85">
        <v>2024</v>
      </c>
      <c r="B85" s="69">
        <v>1</v>
      </c>
      <c r="C85" s="66">
        <v>-1.1769298753638275</v>
      </c>
      <c r="D85" s="66">
        <v>2.5356020226305866</v>
      </c>
      <c r="E85" s="66">
        <v>-3.7125318979944146</v>
      </c>
      <c r="G85">
        <v>2024</v>
      </c>
      <c r="H85" s="69">
        <v>1</v>
      </c>
      <c r="I85" s="66">
        <v>-493.62378270876468</v>
      </c>
      <c r="J85" s="66">
        <v>-1581.5799322938935</v>
      </c>
      <c r="M85">
        <v>2024</v>
      </c>
      <c r="N85" s="69">
        <v>2</v>
      </c>
      <c r="O85" s="66">
        <v>-0.17697387663694991</v>
      </c>
      <c r="P85" s="66">
        <v>5.5286415546129924E-2</v>
      </c>
      <c r="Q85" s="66">
        <v>-0.23226029218307984</v>
      </c>
    </row>
    <row r="86" spans="1:17" x14ac:dyDescent="0.25">
      <c r="M86">
        <v>2024</v>
      </c>
      <c r="N86" s="69">
        <v>1</v>
      </c>
      <c r="O86" s="66">
        <v>0.29984400575968739</v>
      </c>
      <c r="P86" s="66">
        <v>1.1080335586376772E-2</v>
      </c>
      <c r="Q86" s="66">
        <v>0.28876367017331067</v>
      </c>
    </row>
    <row r="137" spans="1:22" x14ac:dyDescent="0.25">
      <c r="A137" s="67" t="s">
        <v>67</v>
      </c>
      <c r="B137" t="s">
        <v>207</v>
      </c>
      <c r="F137" s="67" t="s">
        <v>67</v>
      </c>
      <c r="G137" t="s">
        <v>207</v>
      </c>
    </row>
    <row r="139" spans="1:22" x14ac:dyDescent="0.25">
      <c r="A139" s="67" t="s">
        <v>68</v>
      </c>
      <c r="B139" s="67" t="s">
        <v>95</v>
      </c>
      <c r="C139" t="s">
        <v>208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8</v>
      </c>
      <c r="C140" s="66">
        <v>918.30178433467995</v>
      </c>
      <c r="F140">
        <v>2021</v>
      </c>
      <c r="G140" s="69">
        <v>8</v>
      </c>
      <c r="H140" s="66">
        <v>8085.6461318249994</v>
      </c>
    </row>
    <row r="141" spans="1:22" x14ac:dyDescent="0.25">
      <c r="A141">
        <v>2021</v>
      </c>
      <c r="B141" s="69">
        <v>7</v>
      </c>
      <c r="C141" s="66">
        <v>912.98822825899902</v>
      </c>
      <c r="F141">
        <v>2021</v>
      </c>
      <c r="G141" s="69">
        <v>7</v>
      </c>
      <c r="H141" s="66">
        <v>8046.3719532329987</v>
      </c>
    </row>
    <row r="142" spans="1:22" x14ac:dyDescent="0.25">
      <c r="A142">
        <v>2021</v>
      </c>
      <c r="B142" s="69">
        <v>6</v>
      </c>
      <c r="C142" s="66">
        <v>923.21682157713531</v>
      </c>
      <c r="F142">
        <v>2021</v>
      </c>
      <c r="G142" s="69">
        <v>6</v>
      </c>
      <c r="H142" s="66">
        <v>8091.0532406115981</v>
      </c>
    </row>
    <row r="143" spans="1:22" x14ac:dyDescent="0.25">
      <c r="A143">
        <v>2021</v>
      </c>
      <c r="B143" s="69">
        <v>5</v>
      </c>
      <c r="C143" s="66">
        <v>936.44726461840617</v>
      </c>
      <c r="F143">
        <v>2021</v>
      </c>
      <c r="G143" s="69">
        <v>5</v>
      </c>
      <c r="H143" s="66">
        <v>8122.3945286485978</v>
      </c>
    </row>
    <row r="144" spans="1:22" x14ac:dyDescent="0.25">
      <c r="A144">
        <v>2021</v>
      </c>
      <c r="B144" s="69">
        <v>4</v>
      </c>
      <c r="C144" s="66">
        <v>958.70660515170403</v>
      </c>
      <c r="F144">
        <v>2021</v>
      </c>
      <c r="G144" s="69">
        <v>4</v>
      </c>
      <c r="H144" s="66">
        <v>8208.1988158235963</v>
      </c>
    </row>
    <row r="145" spans="1:8" x14ac:dyDescent="0.25">
      <c r="A145">
        <v>2021</v>
      </c>
      <c r="B145" s="69">
        <v>3</v>
      </c>
      <c r="C145" s="66">
        <v>974.82052520880688</v>
      </c>
      <c r="F145">
        <v>2021</v>
      </c>
      <c r="G145" s="69">
        <v>3</v>
      </c>
      <c r="H145" s="66">
        <v>8261.3267275145972</v>
      </c>
    </row>
    <row r="146" spans="1:8" x14ac:dyDescent="0.25">
      <c r="A146">
        <v>2021</v>
      </c>
      <c r="B146" s="69">
        <v>2</v>
      </c>
      <c r="C146" s="66">
        <v>1053.1322847108793</v>
      </c>
      <c r="F146">
        <v>2021</v>
      </c>
      <c r="G146" s="69">
        <v>2</v>
      </c>
      <c r="H146" s="66">
        <v>8798.9637149388673</v>
      </c>
    </row>
    <row r="147" spans="1:8" x14ac:dyDescent="0.25">
      <c r="A147">
        <v>2021</v>
      </c>
      <c r="B147" s="69">
        <v>1</v>
      </c>
      <c r="C147" s="66">
        <v>1059.6970639411622</v>
      </c>
      <c r="F147">
        <v>2021</v>
      </c>
      <c r="G147" s="69">
        <v>1</v>
      </c>
      <c r="H147" s="66">
        <v>8871.9328203418663</v>
      </c>
    </row>
    <row r="148" spans="1:8" x14ac:dyDescent="0.25">
      <c r="A148">
        <v>2022</v>
      </c>
      <c r="B148" s="69">
        <v>8</v>
      </c>
      <c r="C148" s="66">
        <v>936.01682877655207</v>
      </c>
      <c r="F148">
        <v>2022</v>
      </c>
      <c r="G148" s="69">
        <v>8</v>
      </c>
      <c r="H148" s="66">
        <v>8605.2954563399726</v>
      </c>
    </row>
    <row r="149" spans="1:8" x14ac:dyDescent="0.25">
      <c r="A149">
        <v>2022</v>
      </c>
      <c r="B149" s="69">
        <v>7</v>
      </c>
      <c r="C149" s="66">
        <v>933.57990761208168</v>
      </c>
      <c r="F149">
        <v>2022</v>
      </c>
      <c r="G149" s="69">
        <v>7</v>
      </c>
      <c r="H149" s="66">
        <v>8498.919545506973</v>
      </c>
    </row>
    <row r="150" spans="1:8" x14ac:dyDescent="0.25">
      <c r="A150">
        <v>2022</v>
      </c>
      <c r="B150" s="69">
        <v>6</v>
      </c>
      <c r="C150" s="66">
        <v>951.78848370493279</v>
      </c>
      <c r="F150">
        <v>2022</v>
      </c>
      <c r="G150" s="69">
        <v>6</v>
      </c>
      <c r="H150" s="66">
        <v>8562.416655409972</v>
      </c>
    </row>
    <row r="151" spans="1:8" x14ac:dyDescent="0.25">
      <c r="A151">
        <v>2022</v>
      </c>
      <c r="B151" s="69">
        <v>5</v>
      </c>
      <c r="C151" s="66">
        <v>942.53628598361308</v>
      </c>
      <c r="F151">
        <v>2022</v>
      </c>
      <c r="G151" s="69">
        <v>5</v>
      </c>
      <c r="H151" s="66">
        <v>8419.4980260049979</v>
      </c>
    </row>
    <row r="152" spans="1:8" x14ac:dyDescent="0.25">
      <c r="A152">
        <v>2022</v>
      </c>
      <c r="B152" s="69">
        <v>4</v>
      </c>
      <c r="C152" s="66">
        <v>945.25283935296432</v>
      </c>
      <c r="F152">
        <v>2022</v>
      </c>
      <c r="G152" s="69">
        <v>4</v>
      </c>
      <c r="H152" s="66">
        <v>8420.633531342999</v>
      </c>
    </row>
    <row r="153" spans="1:8" x14ac:dyDescent="0.25">
      <c r="A153">
        <v>2022</v>
      </c>
      <c r="B153" s="69">
        <v>3</v>
      </c>
      <c r="C153" s="66">
        <v>950.81820990499682</v>
      </c>
      <c r="F153">
        <v>2022</v>
      </c>
      <c r="G153" s="69">
        <v>3</v>
      </c>
      <c r="H153" s="66">
        <v>8357.2040744119986</v>
      </c>
    </row>
    <row r="154" spans="1:8" x14ac:dyDescent="0.25">
      <c r="A154">
        <v>2022</v>
      </c>
      <c r="B154" s="69">
        <v>2</v>
      </c>
      <c r="C154" s="66">
        <v>926.41725765913588</v>
      </c>
      <c r="F154">
        <v>2022</v>
      </c>
      <c r="G154" s="69">
        <v>2</v>
      </c>
      <c r="H154" s="66">
        <v>8123.8609302329996</v>
      </c>
    </row>
    <row r="155" spans="1:8" x14ac:dyDescent="0.25">
      <c r="A155">
        <v>2022</v>
      </c>
      <c r="B155" s="69">
        <v>1</v>
      </c>
      <c r="C155" s="66">
        <v>862.98822388852909</v>
      </c>
      <c r="F155">
        <v>2022</v>
      </c>
      <c r="G155" s="69">
        <v>1</v>
      </c>
      <c r="H155" s="66">
        <v>7676.4114603399994</v>
      </c>
    </row>
    <row r="156" spans="1:8" x14ac:dyDescent="0.25">
      <c r="A156">
        <v>2023</v>
      </c>
      <c r="B156" s="69">
        <v>8</v>
      </c>
      <c r="C156" s="66">
        <v>755.67143774820249</v>
      </c>
      <c r="F156">
        <v>2023</v>
      </c>
      <c r="G156" s="69">
        <v>8</v>
      </c>
      <c r="H156" s="66">
        <v>7734.1455853179996</v>
      </c>
    </row>
    <row r="157" spans="1:8" x14ac:dyDescent="0.25">
      <c r="A157">
        <v>2023</v>
      </c>
      <c r="B157" s="69">
        <v>7</v>
      </c>
      <c r="C157" s="66">
        <v>785.53494917084299</v>
      </c>
      <c r="F157">
        <v>2023</v>
      </c>
      <c r="G157" s="69">
        <v>7</v>
      </c>
      <c r="H157" s="66">
        <v>8005.1386765069992</v>
      </c>
    </row>
    <row r="158" spans="1:8" x14ac:dyDescent="0.25">
      <c r="A158">
        <v>2023</v>
      </c>
      <c r="B158" s="69">
        <v>6</v>
      </c>
      <c r="C158" s="66">
        <v>788.64383952377477</v>
      </c>
      <c r="F158">
        <v>2023</v>
      </c>
      <c r="G158" s="69">
        <v>6</v>
      </c>
      <c r="H158" s="66">
        <v>8009.0863417629989</v>
      </c>
    </row>
    <row r="159" spans="1:8" x14ac:dyDescent="0.25">
      <c r="A159">
        <v>2023</v>
      </c>
      <c r="B159" s="69">
        <v>5</v>
      </c>
      <c r="C159" s="66">
        <v>836.56633832215175</v>
      </c>
      <c r="F159">
        <v>2023</v>
      </c>
      <c r="G159" s="69">
        <v>5</v>
      </c>
      <c r="H159" s="66">
        <v>8422.4469063949728</v>
      </c>
    </row>
    <row r="160" spans="1:8" x14ac:dyDescent="0.25">
      <c r="A160">
        <v>2023</v>
      </c>
      <c r="B160" s="69">
        <v>4</v>
      </c>
      <c r="C160" s="66">
        <v>849.77867212354715</v>
      </c>
      <c r="F160">
        <v>2023</v>
      </c>
      <c r="G160" s="69">
        <v>4</v>
      </c>
      <c r="H160" s="66">
        <v>8504.9420276649726</v>
      </c>
    </row>
    <row r="161" spans="1:8" x14ac:dyDescent="0.25">
      <c r="A161">
        <v>2023</v>
      </c>
      <c r="B161" s="69">
        <v>3</v>
      </c>
      <c r="C161" s="66">
        <v>802.24414003294692</v>
      </c>
      <c r="F161">
        <v>2023</v>
      </c>
      <c r="G161" s="69">
        <v>3</v>
      </c>
      <c r="H161" s="66">
        <v>8253.577307148973</v>
      </c>
    </row>
    <row r="162" spans="1:8" x14ac:dyDescent="0.25">
      <c r="A162">
        <v>2023</v>
      </c>
      <c r="B162" s="69">
        <v>2</v>
      </c>
      <c r="C162" s="66">
        <v>826.45494089268846</v>
      </c>
      <c r="F162">
        <v>2023</v>
      </c>
      <c r="G162" s="69">
        <v>2</v>
      </c>
      <c r="H162" s="66">
        <v>8420.3949454869726</v>
      </c>
    </row>
    <row r="163" spans="1:8" x14ac:dyDescent="0.25">
      <c r="A163">
        <v>2023</v>
      </c>
      <c r="B163" s="69">
        <v>1</v>
      </c>
      <c r="C163" s="66">
        <v>855.27072588603892</v>
      </c>
      <c r="F163">
        <v>2023</v>
      </c>
      <c r="G163" s="69">
        <v>1</v>
      </c>
      <c r="H163" s="66">
        <v>8589.2474462449736</v>
      </c>
    </row>
    <row r="164" spans="1:8" x14ac:dyDescent="0.25">
      <c r="A164">
        <v>2024</v>
      </c>
      <c r="B164" s="69">
        <v>8</v>
      </c>
      <c r="C164" s="66">
        <v>838.9396146748519</v>
      </c>
      <c r="F164">
        <v>2024</v>
      </c>
      <c r="G164" s="69">
        <v>8</v>
      </c>
      <c r="H164" s="66">
        <v>7920.2509907469994</v>
      </c>
    </row>
    <row r="165" spans="1:8" x14ac:dyDescent="0.25">
      <c r="A165">
        <v>2024</v>
      </c>
      <c r="B165" s="69">
        <v>7</v>
      </c>
      <c r="C165" s="66">
        <v>803.8561368058663</v>
      </c>
      <c r="F165">
        <v>2024</v>
      </c>
      <c r="G165" s="69">
        <v>7</v>
      </c>
      <c r="H165" s="66">
        <v>7623.9870538190007</v>
      </c>
    </row>
    <row r="166" spans="1:8" x14ac:dyDescent="0.25">
      <c r="A166">
        <v>2024</v>
      </c>
      <c r="B166" s="69">
        <v>6</v>
      </c>
      <c r="C166" s="66">
        <v>787.93605666233918</v>
      </c>
      <c r="F166">
        <v>2024</v>
      </c>
      <c r="G166" s="69">
        <v>6</v>
      </c>
      <c r="H166" s="66">
        <v>7511.590163547</v>
      </c>
    </row>
    <row r="167" spans="1:8" x14ac:dyDescent="0.25">
      <c r="A167">
        <v>2024</v>
      </c>
      <c r="B167" s="69">
        <v>5</v>
      </c>
      <c r="C167" s="66">
        <v>772.25378229705859</v>
      </c>
      <c r="F167">
        <v>2024</v>
      </c>
      <c r="G167" s="69">
        <v>5</v>
      </c>
      <c r="H167" s="66">
        <v>7314.0249025189996</v>
      </c>
    </row>
    <row r="168" spans="1:8" x14ac:dyDescent="0.25">
      <c r="A168">
        <v>2024</v>
      </c>
      <c r="B168" s="69">
        <v>4</v>
      </c>
      <c r="C168" s="66">
        <v>754.93903777228297</v>
      </c>
      <c r="F168">
        <v>2024</v>
      </c>
      <c r="G168" s="69">
        <v>4</v>
      </c>
      <c r="H168" s="66">
        <v>7169.610256986999</v>
      </c>
    </row>
    <row r="169" spans="1:8" x14ac:dyDescent="0.25">
      <c r="A169">
        <v>2024</v>
      </c>
      <c r="B169" s="69">
        <v>3</v>
      </c>
      <c r="C169" s="66">
        <v>800.43907243447779</v>
      </c>
      <c r="F169">
        <v>2024</v>
      </c>
      <c r="G169" s="69">
        <v>3</v>
      </c>
      <c r="H169" s="66">
        <v>7443.5804879140005</v>
      </c>
    </row>
    <row r="170" spans="1:8" x14ac:dyDescent="0.25">
      <c r="A170">
        <v>2024</v>
      </c>
      <c r="B170" s="69">
        <v>2</v>
      </c>
      <c r="C170" s="66">
        <v>818.99254791984254</v>
      </c>
      <c r="F170">
        <v>2024</v>
      </c>
      <c r="G170" s="69">
        <v>2</v>
      </c>
      <c r="H170" s="66">
        <v>7590.5398619670004</v>
      </c>
    </row>
    <row r="171" spans="1:8" x14ac:dyDescent="0.25">
      <c r="A171">
        <v>2024</v>
      </c>
      <c r="B171" s="69">
        <v>1</v>
      </c>
      <c r="C171" s="66">
        <v>867.89565939354156</v>
      </c>
      <c r="F171">
        <v>2024</v>
      </c>
      <c r="G171" s="69">
        <v>1</v>
      </c>
      <c r="H171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H33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5280.9667066130005</v>
      </c>
      <c r="IX2" s="158">
        <v>5401.0182893279998</v>
      </c>
      <c r="IY2" s="158">
        <v>4396.6861224169998</v>
      </c>
      <c r="IZ2" s="158">
        <v>4743.8921766940002</v>
      </c>
      <c r="JA2" s="158">
        <v>3528.8449399179999</v>
      </c>
      <c r="JB2" s="158"/>
      <c r="JC2" s="158"/>
      <c r="JD2" s="158"/>
      <c r="JE2" s="158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4063.1005273820001</v>
      </c>
      <c r="IX4" s="159">
        <v>4387.6120386270004</v>
      </c>
      <c r="IY4" s="159">
        <v>2655.7522247849997</v>
      </c>
      <c r="IZ4" s="159">
        <v>3659.0060726440001</v>
      </c>
      <c r="JA4" s="159">
        <v>2638.0364757970001</v>
      </c>
      <c r="JB4" s="159"/>
      <c r="JC4" s="159"/>
      <c r="JD4" s="159"/>
      <c r="JE4" s="159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1832.8138256409998</v>
      </c>
      <c r="IX5" s="158">
        <v>1958.8730648890003</v>
      </c>
      <c r="IY5" s="158">
        <v>471.63238458200004</v>
      </c>
      <c r="IZ5" s="158">
        <v>1216.1492806889999</v>
      </c>
      <c r="JA5" s="158">
        <v>41.692389467000005</v>
      </c>
      <c r="JB5" s="158"/>
      <c r="JC5" s="158"/>
      <c r="JD5" s="158"/>
      <c r="JE5" s="158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1878.9974349710001</v>
      </c>
      <c r="IX6" s="158">
        <v>2047.9512028339998</v>
      </c>
      <c r="IY6" s="158">
        <v>1855.2041216919999</v>
      </c>
      <c r="IZ6" s="158">
        <v>2060.4742121450004</v>
      </c>
      <c r="JA6" s="158">
        <v>44.579076649999998</v>
      </c>
      <c r="JB6" s="158"/>
      <c r="JC6" s="158"/>
      <c r="JD6" s="158"/>
      <c r="JE6" s="158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1566.3167883440001</v>
      </c>
      <c r="IX7" s="158">
        <v>1669.0615722639998</v>
      </c>
      <c r="IY7" s="158">
        <v>1555.3011958709999</v>
      </c>
      <c r="IZ7" s="158">
        <v>1708.6953278380001</v>
      </c>
      <c r="JA7" s="158">
        <v>44.564676650000003</v>
      </c>
      <c r="JB7" s="158"/>
      <c r="JC7" s="158"/>
      <c r="JD7" s="158"/>
      <c r="JE7" s="158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312.68064662699993</v>
      </c>
      <c r="IX8" s="158">
        <v>378.88963056999995</v>
      </c>
      <c r="IY8" s="158">
        <v>299.902925821</v>
      </c>
      <c r="IZ8" s="158">
        <v>351.77888430700011</v>
      </c>
      <c r="JA8" s="158">
        <v>1.439999999999418E-2</v>
      </c>
      <c r="JB8" s="158"/>
      <c r="JC8" s="158"/>
      <c r="JD8" s="158"/>
      <c r="JE8" s="158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>
        <v>0</v>
      </c>
      <c r="IY9" s="158">
        <v>0</v>
      </c>
      <c r="IZ9" s="158">
        <v>0</v>
      </c>
      <c r="JA9" s="158">
        <v>0</v>
      </c>
      <c r="JB9" s="158"/>
      <c r="JC9" s="158"/>
      <c r="JD9" s="158"/>
      <c r="JE9" s="158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>
        <v>308.83135244300001</v>
      </c>
      <c r="IY10" s="158">
        <v>254.30489454599999</v>
      </c>
      <c r="IZ10" s="158">
        <v>316.32437397099994</v>
      </c>
      <c r="JA10" s="158">
        <v>312.64258309500002</v>
      </c>
      <c r="JB10" s="158"/>
      <c r="JC10" s="158"/>
      <c r="JD10" s="158"/>
      <c r="JE10" s="158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61.828527043000008</v>
      </c>
      <c r="IX11" s="158">
        <v>71.956418460999998</v>
      </c>
      <c r="IY11" s="158">
        <v>74.610823964999994</v>
      </c>
      <c r="IZ11" s="158">
        <v>66.058205838999996</v>
      </c>
      <c r="JA11" s="158">
        <v>2239.1224265850001</v>
      </c>
      <c r="JB11" s="158"/>
      <c r="JC11" s="158"/>
      <c r="JD11" s="158"/>
      <c r="JE11" s="158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>
        <v>259.91833523700001</v>
      </c>
      <c r="IY13" s="158">
        <v>252.199702183</v>
      </c>
      <c r="IZ13" s="158">
        <v>290.76578039700001</v>
      </c>
      <c r="JA13" s="158">
        <v>261.51274837</v>
      </c>
      <c r="JB13" s="158"/>
      <c r="JC13" s="158"/>
      <c r="JD13" s="158"/>
      <c r="JE13" s="158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321.20730355900002</v>
      </c>
      <c r="IX15" s="158">
        <v>155.119391001</v>
      </c>
      <c r="IY15" s="158">
        <v>115.63039133999999</v>
      </c>
      <c r="IZ15" s="158">
        <v>227.37097505699998</v>
      </c>
      <c r="JA15" s="158">
        <v>143.03299199900002</v>
      </c>
      <c r="JB15" s="158"/>
      <c r="JC15" s="158"/>
      <c r="JD15" s="158"/>
      <c r="JE15" s="158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>
        <v>0</v>
      </c>
      <c r="IY16" s="158">
        <v>0</v>
      </c>
      <c r="IZ16" s="158">
        <v>9.2199513769999992</v>
      </c>
      <c r="JA16" s="158">
        <v>8.6152360000000012</v>
      </c>
      <c r="JB16" s="158"/>
      <c r="JC16" s="158"/>
      <c r="JD16" s="158"/>
      <c r="JE16" s="158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>
        <v>0</v>
      </c>
      <c r="IY17" s="158">
        <v>0</v>
      </c>
      <c r="IZ17" s="158">
        <v>0</v>
      </c>
      <c r="JA17" s="158">
        <v>0</v>
      </c>
      <c r="JB17" s="158"/>
      <c r="JC17" s="158"/>
      <c r="JD17" s="158"/>
      <c r="JE17" s="158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>
        <v>0</v>
      </c>
      <c r="IY18" s="158">
        <v>0</v>
      </c>
      <c r="IZ18" s="158">
        <v>9.2199513769999992</v>
      </c>
      <c r="JA18" s="158">
        <v>8.6152360000000012</v>
      </c>
      <c r="JB18" s="158"/>
      <c r="JC18" s="158"/>
      <c r="JD18" s="158"/>
      <c r="JE18" s="158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>
        <v>0</v>
      </c>
      <c r="IY19" s="158">
        <v>0</v>
      </c>
      <c r="IZ19" s="158">
        <v>0</v>
      </c>
      <c r="JA19" s="158">
        <v>0</v>
      </c>
      <c r="JB19" s="158"/>
      <c r="JC19" s="158"/>
      <c r="JD19" s="158"/>
      <c r="JE19" s="158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>
        <v>0</v>
      </c>
      <c r="IY20" s="158">
        <v>0</v>
      </c>
      <c r="IZ20" s="158">
        <v>0</v>
      </c>
      <c r="JA20" s="158">
        <v>0</v>
      </c>
      <c r="JB20" s="158"/>
      <c r="JC20" s="158"/>
      <c r="JD20" s="158"/>
      <c r="JE20" s="158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>
        <v>0</v>
      </c>
      <c r="IY21" s="158">
        <v>0</v>
      </c>
      <c r="IZ21" s="158">
        <v>0</v>
      </c>
      <c r="JA21" s="158">
        <v>0</v>
      </c>
      <c r="JB21" s="158"/>
      <c r="JC21" s="158"/>
      <c r="JD21" s="158"/>
      <c r="JE21" s="158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168.69276188400002</v>
      </c>
      <c r="IX22" s="158">
        <v>155.119391001</v>
      </c>
      <c r="IY22" s="158">
        <v>115.63039133999999</v>
      </c>
      <c r="IZ22" s="158">
        <v>218.15102367999998</v>
      </c>
      <c r="JA22" s="158">
        <v>134.41775599900001</v>
      </c>
      <c r="JB22" s="158"/>
      <c r="JC22" s="158"/>
      <c r="JD22" s="158"/>
      <c r="JE22" s="158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168.69276188400002</v>
      </c>
      <c r="IX23" s="158">
        <v>155.119391001</v>
      </c>
      <c r="IY23" s="158">
        <v>115.63039133999999</v>
      </c>
      <c r="IZ23" s="158">
        <v>218.15102367999998</v>
      </c>
      <c r="JA23" s="158">
        <v>134.41775599900001</v>
      </c>
      <c r="JB23" s="158"/>
      <c r="JC23" s="158"/>
      <c r="JD23" s="158"/>
      <c r="JE23" s="158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>
        <v>0</v>
      </c>
      <c r="IY24" s="158">
        <v>0</v>
      </c>
      <c r="IZ24" s="158">
        <v>0</v>
      </c>
      <c r="JA24" s="158">
        <v>0</v>
      </c>
      <c r="JB24" s="158"/>
      <c r="JC24" s="158"/>
      <c r="JD24" s="158"/>
      <c r="JE24" s="158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638.06314163599995</v>
      </c>
      <c r="IX25" s="158">
        <v>598.36852446299997</v>
      </c>
      <c r="IY25" s="158">
        <v>1373.1038041090003</v>
      </c>
      <c r="IZ25" s="158">
        <v>566.74934859599989</v>
      </c>
      <c r="JA25" s="158">
        <v>486.262723752</v>
      </c>
      <c r="JB25" s="158"/>
      <c r="JC25" s="158"/>
      <c r="JD25" s="158"/>
      <c r="JE25" s="158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243.67858527300001</v>
      </c>
      <c r="IX26" s="158">
        <v>174.11222708100001</v>
      </c>
      <c r="IY26" s="158">
        <v>229.74617377100003</v>
      </c>
      <c r="IZ26" s="158">
        <v>631.07370862599987</v>
      </c>
      <c r="JA26" s="158">
        <v>184.175032469</v>
      </c>
      <c r="JB26" s="158"/>
      <c r="JC26" s="158"/>
      <c r="JD26" s="158"/>
      <c r="JE26" s="158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>
        <v>168.53982335500001</v>
      </c>
      <c r="IY27" s="160">
        <v>162.734087905</v>
      </c>
      <c r="IZ27" s="160">
        <v>579.475869708</v>
      </c>
      <c r="JA27" s="160">
        <v>161.26296316400001</v>
      </c>
      <c r="JB27" s="160"/>
      <c r="JC27" s="160"/>
      <c r="JD27" s="160"/>
      <c r="JE27" s="160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65.103584609000009</v>
      </c>
      <c r="IX28" s="158">
        <v>5.5724037259999895</v>
      </c>
      <c r="IY28" s="158">
        <v>67.012085866000007</v>
      </c>
      <c r="IZ28" s="158">
        <v>51.59783891799988</v>
      </c>
      <c r="JA28" s="158">
        <v>22.912069305000013</v>
      </c>
      <c r="JB28" s="158"/>
      <c r="JC28" s="158"/>
      <c r="JD28" s="158"/>
      <c r="JE28" s="158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310.51190464000001</v>
      </c>
      <c r="IX29" s="158">
        <v>259.43339054299997</v>
      </c>
      <c r="IY29" s="158">
        <v>1106.8359399480003</v>
      </c>
      <c r="IZ29" s="158">
        <v>-146.12194007199994</v>
      </c>
      <c r="JA29" s="158">
        <v>272.71140211099998</v>
      </c>
      <c r="JB29" s="158"/>
      <c r="JC29" s="158"/>
      <c r="JD29" s="158"/>
      <c r="JE29" s="158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55.440421448000002</v>
      </c>
      <c r="IX30" s="158">
        <v>107.164288677</v>
      </c>
      <c r="IY30" s="158">
        <v>975.26797809700008</v>
      </c>
      <c r="IZ30" s="158">
        <v>-204.16688616400003</v>
      </c>
      <c r="JA30" s="158">
        <v>149.34711538799999</v>
      </c>
      <c r="JB30" s="158"/>
      <c r="JC30" s="158"/>
      <c r="JD30" s="158"/>
      <c r="JE30" s="158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255.07148319200002</v>
      </c>
      <c r="IX31" s="158">
        <v>152.269101866</v>
      </c>
      <c r="IY31" s="158">
        <v>131.56796185100001</v>
      </c>
      <c r="IZ31" s="158">
        <v>58.044946092000025</v>
      </c>
      <c r="JA31" s="158">
        <v>123.36428672300002</v>
      </c>
      <c r="JB31" s="158"/>
      <c r="JC31" s="158"/>
      <c r="JD31" s="158"/>
      <c r="JE31" s="158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83.872651723000004</v>
      </c>
      <c r="IX32" s="158">
        <v>164.82290683899998</v>
      </c>
      <c r="IY32" s="158">
        <v>36.521690390000003</v>
      </c>
      <c r="IZ32" s="158">
        <v>81.797580041999993</v>
      </c>
      <c r="JA32" s="158">
        <v>29.376289172</v>
      </c>
      <c r="JB32" s="158"/>
      <c r="JC32" s="158"/>
      <c r="JD32" s="158"/>
      <c r="JE32" s="158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>
        <v>4256.0327050629994</v>
      </c>
      <c r="IY34" s="158">
        <v>3945.7820394109999</v>
      </c>
      <c r="IZ34" s="158">
        <v>4471.1842986419997</v>
      </c>
      <c r="JA34" s="158">
        <v>4343.7812523980001</v>
      </c>
      <c r="JB34" s="158"/>
      <c r="JC34" s="158"/>
      <c r="JD34" s="158"/>
      <c r="JE34" s="158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>
        <v>1690.3028769899997</v>
      </c>
      <c r="IY35" s="198">
        <v>1691.5468035640001</v>
      </c>
      <c r="IZ35" s="198">
        <v>1706.1111985140001</v>
      </c>
      <c r="JA35" s="198">
        <v>1707.8355563340003</v>
      </c>
      <c r="JB35" s="198"/>
      <c r="JC35" s="198"/>
      <c r="JD35" s="198"/>
      <c r="JE35" s="198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>
        <v>450.68079886999999</v>
      </c>
      <c r="IY36" s="161">
        <v>568.08199191200003</v>
      </c>
      <c r="IZ36" s="161">
        <v>725.03368756300017</v>
      </c>
      <c r="JA36" s="161">
        <v>557.12618810099991</v>
      </c>
      <c r="JB36" s="161"/>
      <c r="JC36" s="161"/>
      <c r="JD36" s="161"/>
      <c r="JE36" s="161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>
        <v>157.41184339600002</v>
      </c>
      <c r="IY37" s="158">
        <v>157.09179426199998</v>
      </c>
      <c r="IZ37" s="158">
        <v>177.784648624</v>
      </c>
      <c r="JA37" s="158">
        <v>128.96081648399999</v>
      </c>
      <c r="JB37" s="158"/>
      <c r="JC37" s="158"/>
      <c r="JD37" s="158"/>
      <c r="JE37" s="158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>
        <v>277.962228122</v>
      </c>
      <c r="IY38" s="158">
        <v>394.06017859399998</v>
      </c>
      <c r="IZ38" s="158">
        <v>528.53461606700012</v>
      </c>
      <c r="JA38" s="158">
        <v>428.10862439899995</v>
      </c>
      <c r="JB38" s="158"/>
      <c r="JC38" s="158"/>
      <c r="JD38" s="158"/>
      <c r="JE38" s="158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>
        <v>15.274920249000001</v>
      </c>
      <c r="IY39" s="158">
        <v>16.930019056000003</v>
      </c>
      <c r="IZ39" s="158">
        <v>18.711742499</v>
      </c>
      <c r="JA39" s="158">
        <v>6.3784499999999995E-4</v>
      </c>
      <c r="JB39" s="158"/>
      <c r="JC39" s="158"/>
      <c r="JD39" s="158"/>
      <c r="JE39" s="158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>
        <v>3.1807102999999184E-2</v>
      </c>
      <c r="IY40" s="158">
        <v>0</v>
      </c>
      <c r="IZ40" s="158">
        <v>2.6803729999810458E-3</v>
      </c>
      <c r="JA40" s="158">
        <v>5.6109372999984773E-2</v>
      </c>
      <c r="JB40" s="158"/>
      <c r="JC40" s="158"/>
      <c r="JD40" s="158"/>
      <c r="JE40" s="158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>
        <v>692.53967024899998</v>
      </c>
      <c r="IY41" s="161">
        <v>323.50525333399997</v>
      </c>
      <c r="IZ41" s="161">
        <v>240.085125874</v>
      </c>
      <c r="JA41" s="161">
        <v>679.79433824400007</v>
      </c>
      <c r="JB41" s="161"/>
      <c r="JC41" s="161"/>
      <c r="JD41" s="161"/>
      <c r="JE41" s="161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>
        <v>670.49544323099997</v>
      </c>
      <c r="IY42" s="158">
        <v>286.46463208399996</v>
      </c>
      <c r="IZ42" s="158">
        <v>240.085125874</v>
      </c>
      <c r="JA42" s="158">
        <v>487.09394343700001</v>
      </c>
      <c r="JB42" s="158"/>
      <c r="JC42" s="158"/>
      <c r="JD42" s="158"/>
      <c r="JE42" s="158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>
        <v>22.044227018000001</v>
      </c>
      <c r="IY43" s="158">
        <v>37.040621249999994</v>
      </c>
      <c r="IZ43" s="158">
        <v>0</v>
      </c>
      <c r="JA43" s="158">
        <v>192.70039480700001</v>
      </c>
      <c r="JB43" s="158"/>
      <c r="JC43" s="158"/>
      <c r="JD43" s="158"/>
      <c r="JE43" s="158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>
        <v>0</v>
      </c>
      <c r="IY44" s="158">
        <v>0</v>
      </c>
      <c r="IZ44" s="158">
        <v>0</v>
      </c>
      <c r="JA44" s="158">
        <v>0</v>
      </c>
      <c r="JB44" s="158"/>
      <c r="JC44" s="158"/>
      <c r="JD44" s="158"/>
      <c r="JE44" s="158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>
        <v>412.23324842499994</v>
      </c>
      <c r="IY45" s="158">
        <v>425.65938595200004</v>
      </c>
      <c r="IZ45" s="158">
        <v>870.29515321299994</v>
      </c>
      <c r="JA45" s="158">
        <v>469.895018376</v>
      </c>
      <c r="JB45" s="158"/>
      <c r="JC45" s="158"/>
      <c r="JD45" s="158"/>
      <c r="JE45" s="158"/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>
        <v>0</v>
      </c>
      <c r="IY46" s="158">
        <v>0</v>
      </c>
      <c r="IZ46" s="158">
        <v>0</v>
      </c>
      <c r="JA46" s="158">
        <v>0</v>
      </c>
      <c r="JB46" s="158"/>
      <c r="JC46" s="158"/>
      <c r="JD46" s="158"/>
      <c r="JE46" s="158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>
        <v>0</v>
      </c>
      <c r="IZ47" s="161">
        <v>0</v>
      </c>
      <c r="JA47" s="161">
        <v>0</v>
      </c>
      <c r="JB47" s="161"/>
      <c r="JC47" s="161"/>
      <c r="JD47" s="161"/>
      <c r="JE47" s="161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>
        <v>0</v>
      </c>
      <c r="IY48" s="158">
        <v>0</v>
      </c>
      <c r="IZ48" s="158">
        <v>0</v>
      </c>
      <c r="JA48" s="158">
        <v>0</v>
      </c>
      <c r="JB48" s="158"/>
      <c r="JC48" s="158"/>
      <c r="JD48" s="158"/>
      <c r="JE48" s="158"/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>
        <v>15.717472501</v>
      </c>
      <c r="IY49" s="158">
        <v>1.5524617490000001</v>
      </c>
      <c r="IZ49" s="158">
        <v>6.3208455700000004</v>
      </c>
      <c r="JA49" s="158">
        <v>0.71384452300000001</v>
      </c>
      <c r="JB49" s="158"/>
      <c r="JC49" s="158"/>
      <c r="JD49" s="158"/>
      <c r="JE49" s="158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>
        <v>15.717472501</v>
      </c>
      <c r="IY50" s="161">
        <v>1.5524617490000001</v>
      </c>
      <c r="IZ50" s="161">
        <v>6.3208455700000004</v>
      </c>
      <c r="JA50" s="161">
        <v>0.71384452300000001</v>
      </c>
      <c r="JB50" s="161"/>
      <c r="JC50" s="161"/>
      <c r="JD50" s="161"/>
      <c r="JE50" s="161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>
        <v>0</v>
      </c>
      <c r="IY51" s="158">
        <v>0</v>
      </c>
      <c r="IZ51" s="158">
        <v>0</v>
      </c>
      <c r="JA51" s="158">
        <v>0</v>
      </c>
      <c r="JB51" s="158"/>
      <c r="JC51" s="158"/>
      <c r="JD51" s="158"/>
      <c r="JE51" s="158"/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>
        <v>396.51577592399997</v>
      </c>
      <c r="IY52" s="158">
        <v>424.10692420300006</v>
      </c>
      <c r="IZ52" s="158">
        <v>863.97430764299997</v>
      </c>
      <c r="JA52" s="158">
        <v>469.18117385300002</v>
      </c>
      <c r="JB52" s="158"/>
      <c r="JC52" s="158"/>
      <c r="JD52" s="158"/>
      <c r="JE52" s="158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>
        <v>299.83299377099996</v>
      </c>
      <c r="IY53" s="161">
        <v>290.89957685900004</v>
      </c>
      <c r="IZ53" s="161">
        <v>418.64382420099997</v>
      </c>
      <c r="JA53" s="161">
        <v>336.096041415</v>
      </c>
      <c r="JB53" s="161"/>
      <c r="JC53" s="161"/>
      <c r="JD53" s="161"/>
      <c r="JE53" s="161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>
        <v>96.682782152999991</v>
      </c>
      <c r="IY54" s="158">
        <v>133.207347344</v>
      </c>
      <c r="IZ54" s="158">
        <v>445.330483442</v>
      </c>
      <c r="JA54" s="158">
        <v>133.08513243799999</v>
      </c>
      <c r="JB54" s="158"/>
      <c r="JC54" s="158"/>
      <c r="JD54" s="158"/>
      <c r="JE54" s="158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>
        <v>740.19488153200007</v>
      </c>
      <c r="IY55" s="161">
        <v>744.65206402299998</v>
      </c>
      <c r="IZ55" s="161">
        <v>749.37541258599992</v>
      </c>
      <c r="JA55" s="161">
        <v>743.09611486999995</v>
      </c>
      <c r="JB55" s="161"/>
      <c r="JC55" s="161"/>
      <c r="JD55" s="161"/>
      <c r="JE55" s="161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>
        <v>431.94042629299997</v>
      </c>
      <c r="IY56" s="158">
        <v>426.96554845999998</v>
      </c>
      <c r="IZ56" s="158">
        <v>445.96629593199998</v>
      </c>
      <c r="JA56" s="158">
        <v>449.09443202099993</v>
      </c>
      <c r="JB56" s="158"/>
      <c r="JC56" s="158"/>
      <c r="JD56" s="158"/>
      <c r="JE56" s="158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>
        <v>281.50389901900002</v>
      </c>
      <c r="IY57" s="158">
        <v>293.55045695999996</v>
      </c>
      <c r="IZ57" s="158">
        <v>277.41823741799999</v>
      </c>
      <c r="JA57" s="158">
        <v>270.03846093800001</v>
      </c>
      <c r="JB57" s="158"/>
      <c r="JC57" s="158"/>
      <c r="JD57" s="158"/>
      <c r="JE57" s="158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>
        <v>26.75055622</v>
      </c>
      <c r="IY58" s="158">
        <v>24.136058603000002</v>
      </c>
      <c r="IZ58" s="158">
        <v>25.990879236000001</v>
      </c>
      <c r="JA58" s="158">
        <v>23.963221911000002</v>
      </c>
      <c r="JB58" s="158"/>
      <c r="JC58" s="158"/>
      <c r="JD58" s="158"/>
      <c r="JE58" s="158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>
        <v>270.08122899700004</v>
      </c>
      <c r="IY59" s="158">
        <v>192.33654062599999</v>
      </c>
      <c r="IZ59" s="158">
        <v>180.28372089200002</v>
      </c>
      <c r="JA59" s="158">
        <v>186.03403647300001</v>
      </c>
      <c r="JB59" s="158"/>
      <c r="JC59" s="158"/>
      <c r="JD59" s="158"/>
      <c r="JE59" s="158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>
        <v>129.05403566500001</v>
      </c>
      <c r="IY60" s="161">
        <v>69.665342180999986</v>
      </c>
      <c r="IZ60" s="161">
        <v>117.82658553100001</v>
      </c>
      <c r="JA60" s="161">
        <v>110.63926989300001</v>
      </c>
      <c r="JB60" s="161"/>
      <c r="JC60" s="161"/>
      <c r="JD60" s="161"/>
      <c r="JE60" s="161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>
        <v>20.842849130999998</v>
      </c>
      <c r="IY61" s="158">
        <v>31.968753273999997</v>
      </c>
      <c r="IZ61" s="158">
        <v>36.931859482</v>
      </c>
      <c r="JA61" s="158">
        <v>8.6597728509999996</v>
      </c>
      <c r="JB61" s="158"/>
      <c r="JC61" s="158"/>
      <c r="JD61" s="158"/>
      <c r="JE61" s="158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>
        <v>31.992113463999999</v>
      </c>
      <c r="IY62" s="158">
        <v>11.433426416999998</v>
      </c>
      <c r="IZ62" s="158">
        <v>29.400120528999999</v>
      </c>
      <c r="JA62" s="158">
        <v>33.653365161000004</v>
      </c>
      <c r="JB62" s="158"/>
      <c r="JC62" s="158"/>
      <c r="JD62" s="158"/>
      <c r="JE62" s="158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>
        <v>2.8170425000000012</v>
      </c>
      <c r="IY63" s="158">
        <v>0.05</v>
      </c>
      <c r="IZ63" s="158">
        <v>3.0372508649999999</v>
      </c>
      <c r="JA63" s="158">
        <v>0.42238947999999998</v>
      </c>
      <c r="JB63" s="158"/>
      <c r="JC63" s="158"/>
      <c r="JD63" s="158"/>
      <c r="JE63" s="158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>
        <v>70.02083778299999</v>
      </c>
      <c r="IY64" s="158">
        <v>23.189010666999998</v>
      </c>
      <c r="IZ64" s="158">
        <v>45.361161967999998</v>
      </c>
      <c r="JA64" s="158">
        <v>63.852549713999998</v>
      </c>
      <c r="JB64" s="158"/>
      <c r="JC64" s="158"/>
      <c r="JD64" s="158"/>
      <c r="JE64" s="158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>
        <v>3.3811927869999998</v>
      </c>
      <c r="IY65" s="158">
        <v>3.024151823</v>
      </c>
      <c r="IZ65" s="158">
        <v>3.0961926870000003</v>
      </c>
      <c r="JA65" s="158">
        <v>4.0511926870000003</v>
      </c>
      <c r="JB65" s="158"/>
      <c r="JC65" s="158"/>
      <c r="JD65" s="158"/>
      <c r="JE65" s="158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>
        <v>141.027193332</v>
      </c>
      <c r="IY66" s="158">
        <v>122.67119844499999</v>
      </c>
      <c r="IZ66" s="158">
        <v>62.457135361000006</v>
      </c>
      <c r="JA66" s="158">
        <v>75.394766579999995</v>
      </c>
      <c r="JB66" s="158"/>
      <c r="JC66" s="158"/>
      <c r="JD66" s="158"/>
      <c r="JE66" s="158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>
        <v>141.027193332</v>
      </c>
      <c r="IY67" s="158">
        <v>122.67119844499999</v>
      </c>
      <c r="IZ67" s="158">
        <v>62.457135361000006</v>
      </c>
      <c r="JA67" s="158">
        <v>75.394766579999995</v>
      </c>
      <c r="JB67" s="158"/>
      <c r="JC67" s="158"/>
      <c r="JD67" s="158"/>
      <c r="JE67" s="158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>
        <v>0</v>
      </c>
      <c r="IY68" s="158">
        <v>0</v>
      </c>
      <c r="IZ68" s="158">
        <v>0</v>
      </c>
      <c r="JA68" s="158">
        <v>0</v>
      </c>
      <c r="JB68" s="158"/>
      <c r="JC68" s="158"/>
      <c r="JD68" s="158"/>
      <c r="JE68" s="158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>
        <v>0</v>
      </c>
      <c r="IY69" s="158">
        <v>0</v>
      </c>
      <c r="IZ69" s="158">
        <v>0</v>
      </c>
      <c r="JA69" s="158">
        <v>0</v>
      </c>
      <c r="JB69" s="158"/>
      <c r="JC69" s="158"/>
      <c r="JD69" s="158"/>
      <c r="JE69" s="158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1123.5998421269996</v>
      </c>
      <c r="IX71" s="158">
        <v>1144.9855842650004</v>
      </c>
      <c r="IY71" s="158">
        <v>450.90408300599984</v>
      </c>
      <c r="IZ71" s="158">
        <v>272.70787805200052</v>
      </c>
      <c r="JA71" s="158">
        <v>-814.9363124800002</v>
      </c>
      <c r="JB71" s="158"/>
      <c r="JC71" s="158"/>
      <c r="JD71" s="158"/>
      <c r="JE71" s="158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>
        <v>508.08560216199999</v>
      </c>
      <c r="IY74" s="158">
        <v>529.7948712650001</v>
      </c>
      <c r="IZ74" s="158">
        <v>715.2767886649998</v>
      </c>
      <c r="JA74" s="158">
        <v>645.81966667200004</v>
      </c>
      <c r="JB74" s="158"/>
      <c r="JC74" s="158"/>
      <c r="JD74" s="158"/>
      <c r="JE74" s="158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>
        <v>499.62814789699996</v>
      </c>
      <c r="IY75" s="158">
        <v>473.88904741100009</v>
      </c>
      <c r="IZ75" s="158">
        <v>714.07327816199984</v>
      </c>
      <c r="JA75" s="158">
        <v>511.73482078400002</v>
      </c>
      <c r="JB75" s="158"/>
      <c r="JC75" s="158"/>
      <c r="JD75" s="158"/>
      <c r="JE75" s="158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>
        <v>8.4574542649999991</v>
      </c>
      <c r="IY76" s="158">
        <v>4.8409505489999995</v>
      </c>
      <c r="IZ76" s="158">
        <v>1.203510503</v>
      </c>
      <c r="JA76" s="158">
        <v>7.0126755730000001</v>
      </c>
      <c r="JB76" s="158"/>
      <c r="JC76" s="158"/>
      <c r="JD76" s="158"/>
      <c r="JE76" s="158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>
        <v>0</v>
      </c>
      <c r="IY77" s="158">
        <v>51.064873304999999</v>
      </c>
      <c r="IZ77" s="158">
        <v>0</v>
      </c>
      <c r="JA77" s="158">
        <v>127.07217031499999</v>
      </c>
      <c r="JB77" s="158"/>
      <c r="JC77" s="158"/>
      <c r="JD77" s="158"/>
      <c r="JE77" s="158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510.6599702029996</v>
      </c>
      <c r="IX78" s="162">
        <v>636.89998210300041</v>
      </c>
      <c r="IY78" s="162">
        <v>-78.89078825900026</v>
      </c>
      <c r="IZ78" s="162">
        <v>-442.56891061299928</v>
      </c>
      <c r="JA78" s="162">
        <v>-1460.7559791520002</v>
      </c>
      <c r="JB78" s="162"/>
      <c r="JC78" s="162"/>
      <c r="JD78" s="162"/>
      <c r="JE78" s="162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-2780.3319370007994</v>
      </c>
      <c r="IW82" s="158">
        <v>1032.9323695654336</v>
      </c>
      <c r="IX82" s="158">
        <v>1521.62250532751</v>
      </c>
      <c r="IY82" s="158">
        <v>1196.9125215232857</v>
      </c>
      <c r="IZ82" s="158">
        <v>-312.96146151344402</v>
      </c>
      <c r="JA82" s="158">
        <v>35.242732589000013</v>
      </c>
      <c r="JB82" s="158"/>
      <c r="JC82" s="158"/>
      <c r="JD82" s="158"/>
      <c r="JE82" s="158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-2780.3319370007994</v>
      </c>
      <c r="IW83" s="158">
        <v>1032.9323695654336</v>
      </c>
      <c r="IX83" s="158">
        <v>1521.62250532751</v>
      </c>
      <c r="IY83" s="158">
        <v>1196.9125215232857</v>
      </c>
      <c r="IZ83" s="158">
        <v>-312.96146151344402</v>
      </c>
      <c r="JA83" s="158">
        <v>35.242732589000013</v>
      </c>
      <c r="JB83" s="158"/>
      <c r="JC83" s="158"/>
      <c r="JD83" s="158"/>
      <c r="JE83" s="158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>
        <v>0</v>
      </c>
      <c r="IY84" s="158">
        <v>0</v>
      </c>
      <c r="IZ84" s="158">
        <v>0</v>
      </c>
      <c r="JA84" s="158">
        <v>0</v>
      </c>
      <c r="JB84" s="158"/>
      <c r="JC84" s="158"/>
      <c r="JD84" s="158"/>
      <c r="JE84" s="158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-1534.9713241279999</v>
      </c>
      <c r="IU85" s="158">
        <v>4270.8186665559988</v>
      </c>
      <c r="IV85" s="158">
        <v>-555.6078134679999</v>
      </c>
      <c r="IW85" s="158">
        <v>1146.1299144889999</v>
      </c>
      <c r="IX85" s="158">
        <v>1505.7304167899997</v>
      </c>
      <c r="IY85" s="158">
        <v>909.80212153999992</v>
      </c>
      <c r="IZ85" s="158">
        <v>700.220311907</v>
      </c>
      <c r="JA85" s="158">
        <v>338.34413637099999</v>
      </c>
      <c r="JB85" s="158"/>
      <c r="JC85" s="158"/>
      <c r="JD85" s="158"/>
      <c r="JE85" s="158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-1602.6674343519999</v>
      </c>
      <c r="IU86" s="158">
        <v>-2194.157517872</v>
      </c>
      <c r="IV86" s="158">
        <v>-16.420111705</v>
      </c>
      <c r="IW86" s="158">
        <v>1129.139421227</v>
      </c>
      <c r="IX86" s="158">
        <v>-144.92893577900003</v>
      </c>
      <c r="IY86" s="158">
        <v>480.85150161499996</v>
      </c>
      <c r="IZ86" s="158">
        <v>507.08930101099998</v>
      </c>
      <c r="JA86" s="158">
        <v>-17.387468611999999</v>
      </c>
      <c r="JB86" s="158"/>
      <c r="JC86" s="158"/>
      <c r="JD86" s="158"/>
      <c r="JE86" s="158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>
        <v>1650.6593525689998</v>
      </c>
      <c r="IY87" s="158">
        <v>428.95061992499996</v>
      </c>
      <c r="IZ87" s="158">
        <v>193.13101089599999</v>
      </c>
      <c r="JA87" s="158">
        <v>355.73160498300001</v>
      </c>
      <c r="JB87" s="158"/>
      <c r="JC87" s="158"/>
      <c r="JD87" s="158"/>
      <c r="JE87" s="158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-1602.6674343519999</v>
      </c>
      <c r="IU89" s="158">
        <v>-2177.4993455809999</v>
      </c>
      <c r="IV89" s="158">
        <v>-16.344111705</v>
      </c>
      <c r="IW89" s="158">
        <v>244.05842122700003</v>
      </c>
      <c r="IX89" s="158">
        <v>-118.41265638</v>
      </c>
      <c r="IY89" s="158">
        <v>187.35150161499999</v>
      </c>
      <c r="IZ89" s="158">
        <v>520.62089835799998</v>
      </c>
      <c r="JA89" s="158">
        <v>0</v>
      </c>
      <c r="JB89" s="158"/>
      <c r="JC89" s="158"/>
      <c r="JD89" s="158"/>
      <c r="JE89" s="158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923.04484288100002</v>
      </c>
      <c r="IU90" s="158">
        <v>781.41563478499995</v>
      </c>
      <c r="IV90" s="158">
        <v>-16.344111705</v>
      </c>
      <c r="IW90" s="158">
        <v>244.05842122700003</v>
      </c>
      <c r="IX90" s="158">
        <v>-118.41265638</v>
      </c>
      <c r="IY90" s="158">
        <v>187.35150161499999</v>
      </c>
      <c r="IZ90" s="158">
        <v>520.62089835799998</v>
      </c>
      <c r="JA90" s="158">
        <v>0</v>
      </c>
      <c r="JB90" s="158"/>
      <c r="JC90" s="158"/>
      <c r="JD90" s="158"/>
      <c r="JE90" s="158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>
        <v>0</v>
      </c>
      <c r="IY91" s="158">
        <v>0</v>
      </c>
      <c r="IZ91" s="158">
        <v>0</v>
      </c>
      <c r="JA91" s="158">
        <v>0</v>
      </c>
      <c r="JB91" s="158"/>
      <c r="JC91" s="158"/>
      <c r="JD91" s="158"/>
      <c r="JE91" s="158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-2779.1760796167996</v>
      </c>
      <c r="IW93" s="158">
        <v>1001.2231447584336</v>
      </c>
      <c r="IX93" s="158">
        <v>1492.8002479745101</v>
      </c>
      <c r="IY93" s="158">
        <v>1154.5796204132857</v>
      </c>
      <c r="IZ93" s="158">
        <v>-311.73213025844404</v>
      </c>
      <c r="JA93" s="158">
        <v>0</v>
      </c>
      <c r="JB93" s="158"/>
      <c r="JC93" s="158"/>
      <c r="JD93" s="158"/>
      <c r="JE93" s="158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-2779.1760796167996</v>
      </c>
      <c r="IW94" s="158">
        <v>1001.2231447584336</v>
      </c>
      <c r="IX94" s="158">
        <v>1492.8002479745101</v>
      </c>
      <c r="IY94" s="158">
        <v>1154.5796204132857</v>
      </c>
      <c r="IZ94" s="158">
        <v>-311.73213025844404</v>
      </c>
      <c r="JA94" s="158">
        <v>0</v>
      </c>
      <c r="JB94" s="158"/>
      <c r="JC94" s="158"/>
      <c r="JD94" s="158"/>
      <c r="JE94" s="158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452.30266746413713</v>
      </c>
      <c r="IU96" s="158">
        <v>-3196.6856598479453</v>
      </c>
      <c r="IV96" s="158">
        <v>56.009409626799652</v>
      </c>
      <c r="IW96" s="158">
        <v>623.85751512656589</v>
      </c>
      <c r="IX96" s="158">
        <v>621.00789356549012</v>
      </c>
      <c r="IY96" s="158">
        <v>-366.00118824228593</v>
      </c>
      <c r="IZ96" s="158">
        <v>570.6128628074448</v>
      </c>
      <c r="JA96" s="158">
        <v>-1157.6545753700002</v>
      </c>
      <c r="JB96" s="158"/>
      <c r="JC96" s="158"/>
      <c r="JD96" s="158"/>
      <c r="JE96" s="158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223"/>
      <c r="FF102" s="223"/>
      <c r="FG102" s="223"/>
      <c r="FH102" s="223"/>
      <c r="FI102" s="223"/>
      <c r="FJ102" s="223"/>
      <c r="FK102" s="223"/>
      <c r="FL102" s="223"/>
      <c r="FM102" s="223"/>
      <c r="FN102" s="223"/>
      <c r="FO102" s="223"/>
      <c r="FP102" s="223"/>
      <c r="FQ102" s="223"/>
      <c r="FR102" s="223"/>
      <c r="FS102" s="223"/>
      <c r="FT102" s="223"/>
      <c r="FU102" s="223"/>
      <c r="FV102" s="223"/>
      <c r="FW102" s="223"/>
      <c r="FX102" s="223"/>
      <c r="FY102" s="223"/>
      <c r="FZ102" s="223"/>
      <c r="GA102" s="223"/>
      <c r="GB102" s="223"/>
      <c r="GC102" s="223"/>
      <c r="GD102" s="223"/>
      <c r="GE102" s="223"/>
      <c r="GF102" s="223"/>
      <c r="GG102" s="223"/>
      <c r="GH102" s="223"/>
      <c r="GI102" s="223"/>
      <c r="GJ102" s="223"/>
      <c r="GK102" s="223"/>
      <c r="GL102" s="223"/>
      <c r="GM102" s="223"/>
      <c r="GN102" s="223"/>
      <c r="GO102" s="223"/>
      <c r="GP102" s="223"/>
      <c r="GQ102" s="223"/>
      <c r="GR102" s="223"/>
      <c r="GS102" s="223"/>
      <c r="GT102" s="223"/>
      <c r="GU102" s="223"/>
      <c r="GV102" s="223"/>
      <c r="GW102" s="223"/>
      <c r="GX102" s="223"/>
      <c r="GY102" s="223"/>
      <c r="GZ102" s="223"/>
      <c r="HA102" s="223"/>
      <c r="HB102" s="223"/>
      <c r="HC102" s="223"/>
      <c r="HD102" s="223"/>
      <c r="HE102" s="223"/>
      <c r="HF102" s="223"/>
      <c r="HG102" s="223"/>
      <c r="HH102" s="223"/>
      <c r="HI102" s="223"/>
      <c r="HJ102" s="223"/>
      <c r="HK102" s="223"/>
      <c r="HL102" s="223"/>
      <c r="HM102" s="223"/>
      <c r="HN102" s="223"/>
      <c r="HO102" s="223"/>
      <c r="HP102" s="223"/>
      <c r="HQ102" s="223"/>
      <c r="HR102" s="223"/>
      <c r="HS102" s="223"/>
      <c r="HT102" s="223"/>
      <c r="HU102" s="223"/>
      <c r="HV102" s="223"/>
      <c r="HW102" s="223"/>
      <c r="HX102" s="223"/>
      <c r="HY102" s="223"/>
      <c r="HZ102" s="223"/>
      <c r="IA102" s="223"/>
      <c r="IB102" s="223"/>
      <c r="IC102" s="223"/>
      <c r="ID102" s="223"/>
      <c r="IE102" s="223"/>
      <c r="IF102" s="223"/>
      <c r="IG102" s="223"/>
      <c r="IH102" s="223"/>
      <c r="II102" s="223"/>
      <c r="IJ102" s="223"/>
      <c r="IK102" s="223"/>
      <c r="IL102" s="223"/>
      <c r="IM102" s="223"/>
      <c r="IN102" s="223"/>
      <c r="IO102" s="223"/>
      <c r="IP102" s="223"/>
      <c r="IQ102" s="223"/>
      <c r="IR102" s="223"/>
      <c r="IS102" s="223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W268"/>
  <sheetViews>
    <sheetView showGridLines="0" topLeftCell="A245" workbookViewId="0">
      <selection activeCell="M43" sqref="M43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8" bestFit="1" customWidth="1"/>
    <col min="14" max="14" width="21.7109375" hidden="1" customWidth="1"/>
    <col min="15" max="15" width="4.5703125" customWidth="1"/>
    <col min="23" max="23" width="15.5703125" bestFit="1" customWidth="1"/>
  </cols>
  <sheetData>
    <row r="2" spans="1:23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3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f>YEAR(H3)</f>
        <v>2003</v>
      </c>
      <c r="H3" s="228">
        <v>37622</v>
      </c>
      <c r="I3" s="61">
        <v>7088.75</v>
      </c>
      <c r="K3">
        <v>2021</v>
      </c>
      <c r="L3" s="155" t="s">
        <v>203</v>
      </c>
      <c r="M3" t="s">
        <v>78</v>
      </c>
      <c r="N3" s="65">
        <v>6926.4577272727274</v>
      </c>
      <c r="T3" s="65"/>
      <c r="V3" s="65"/>
    </row>
    <row r="4" spans="1:23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f t="shared" ref="G4:G67" si="0">YEAR(H4)</f>
        <v>2003</v>
      </c>
      <c r="H4" s="228">
        <v>37653</v>
      </c>
      <c r="I4" s="61">
        <v>6942.77</v>
      </c>
      <c r="K4">
        <v>2021</v>
      </c>
      <c r="L4" s="155" t="s">
        <v>202</v>
      </c>
      <c r="M4" t="s">
        <v>77</v>
      </c>
      <c r="N4" s="65">
        <v>6848.1768181818188</v>
      </c>
      <c r="P4" s="156" t="s">
        <v>67</v>
      </c>
      <c r="Q4" s="156" t="s">
        <v>68</v>
      </c>
      <c r="R4" s="156" t="s">
        <v>83</v>
      </c>
      <c r="T4" s="65"/>
      <c r="V4" s="65"/>
      <c r="W4" s="156" t="s">
        <v>210</v>
      </c>
    </row>
    <row r="5" spans="1:23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f t="shared" si="0"/>
        <v>2003</v>
      </c>
      <c r="H5" s="228">
        <v>37681</v>
      </c>
      <c r="I5" s="61">
        <v>6851.04</v>
      </c>
      <c r="K5">
        <v>2021</v>
      </c>
      <c r="L5" s="155" t="s">
        <v>201</v>
      </c>
      <c r="M5" t="s">
        <v>76</v>
      </c>
      <c r="N5" s="65">
        <v>6744.5118181818189</v>
      </c>
      <c r="P5" s="157" t="str">
        <f>VLOOKUP(MAX(K3:K100),$K$3:$N$100,2,0)</f>
        <v>ago</v>
      </c>
      <c r="Q5" s="157">
        <f>MAX(K3:K100)</f>
        <v>2024</v>
      </c>
      <c r="R5" s="157" t="str">
        <f>P5&amp;"-"&amp;Q5</f>
        <v>ago-2024</v>
      </c>
      <c r="S5" t="s">
        <v>196</v>
      </c>
      <c r="T5" s="65" t="str">
        <f>VLOOKUP(MAX(K3:K100),$K$3:$N$100,3,0)</f>
        <v>Agosto</v>
      </c>
      <c r="U5">
        <f>MAX(K3:K100)</f>
        <v>2024</v>
      </c>
      <c r="V5" s="195" t="str">
        <f>T5&amp;" "&amp;U5</f>
        <v>Agosto 2024</v>
      </c>
      <c r="W5" s="157" t="str">
        <f>S5&amp;"-"&amp;P5&amp;" "&amp;Q5</f>
        <v>ene-ago 2024</v>
      </c>
    </row>
    <row r="6" spans="1:23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f t="shared" si="0"/>
        <v>2003</v>
      </c>
      <c r="H6" s="228">
        <v>37712</v>
      </c>
      <c r="I6" s="61">
        <v>6855.04</v>
      </c>
      <c r="K6">
        <v>2021</v>
      </c>
      <c r="L6" s="155" t="s">
        <v>200</v>
      </c>
      <c r="M6" t="s">
        <v>75</v>
      </c>
      <c r="N6" s="65">
        <v>6717.3797500000001</v>
      </c>
      <c r="P6" s="157" t="str">
        <f>VLOOKUP(MAX(K3:K100)-1,$K$3:$N$100,2,0)</f>
        <v>ago</v>
      </c>
      <c r="Q6" s="157">
        <f>MAX(K3:K100)-1</f>
        <v>2023</v>
      </c>
      <c r="R6" s="157" t="str">
        <f>P6&amp;"-"&amp;Q6</f>
        <v>ago-2023</v>
      </c>
      <c r="S6" t="s">
        <v>196</v>
      </c>
      <c r="T6" s="65"/>
      <c r="V6" s="65"/>
      <c r="W6" s="157" t="str">
        <f>S6&amp;"-"&amp;P6&amp;" "&amp;Q6</f>
        <v>ene-ago 2023</v>
      </c>
    </row>
    <row r="7" spans="1:23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f t="shared" si="0"/>
        <v>2003</v>
      </c>
      <c r="H7" s="228">
        <v>37742</v>
      </c>
      <c r="I7" s="61">
        <v>6462.22</v>
      </c>
      <c r="K7">
        <v>2021</v>
      </c>
      <c r="L7" s="155" t="s">
        <v>199</v>
      </c>
      <c r="M7" t="s">
        <v>74</v>
      </c>
      <c r="N7" s="65">
        <v>6410.7487500000007</v>
      </c>
      <c r="T7" s="65"/>
      <c r="V7" s="65"/>
    </row>
    <row r="8" spans="1:23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f t="shared" si="0"/>
        <v>2003</v>
      </c>
      <c r="H8" s="228">
        <v>37773</v>
      </c>
      <c r="I8" s="61">
        <v>6225.17</v>
      </c>
      <c r="K8">
        <v>2021</v>
      </c>
      <c r="L8" s="155" t="s">
        <v>198</v>
      </c>
      <c r="M8" t="s">
        <v>73</v>
      </c>
      <c r="N8" s="65">
        <v>6539.7484090909093</v>
      </c>
      <c r="T8" s="65"/>
      <c r="V8" s="65"/>
    </row>
    <row r="9" spans="1:23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f t="shared" si="0"/>
        <v>2003</v>
      </c>
      <c r="H9" s="228">
        <v>37803</v>
      </c>
      <c r="I9" s="61">
        <v>6010.63</v>
      </c>
      <c r="K9">
        <v>2021</v>
      </c>
      <c r="L9" s="155" t="s">
        <v>197</v>
      </c>
      <c r="M9" t="s">
        <v>72</v>
      </c>
      <c r="N9" s="65">
        <v>6723.152</v>
      </c>
      <c r="T9" s="65"/>
      <c r="V9" s="65"/>
    </row>
    <row r="10" spans="1:23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f t="shared" si="0"/>
        <v>2003</v>
      </c>
      <c r="H10" s="228">
        <v>37834</v>
      </c>
      <c r="I10" s="61">
        <v>6227.6</v>
      </c>
      <c r="K10">
        <v>2021</v>
      </c>
      <c r="L10" s="155" t="s">
        <v>196</v>
      </c>
      <c r="M10" t="s">
        <v>71</v>
      </c>
      <c r="N10" s="65">
        <v>6902.8254999999999</v>
      </c>
      <c r="T10" s="65"/>
      <c r="V10" s="65"/>
    </row>
    <row r="11" spans="1:23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f t="shared" si="0"/>
        <v>2003</v>
      </c>
      <c r="H11" s="228">
        <v>37865</v>
      </c>
      <c r="I11" s="61">
        <v>6218.07</v>
      </c>
      <c r="K11">
        <v>2022</v>
      </c>
      <c r="L11" s="155" t="s">
        <v>203</v>
      </c>
      <c r="M11" t="s">
        <v>78</v>
      </c>
      <c r="N11" s="65">
        <v>6874.4722727272738</v>
      </c>
      <c r="T11" s="65"/>
      <c r="V11" s="65"/>
    </row>
    <row r="12" spans="1:23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f t="shared" si="0"/>
        <v>2003</v>
      </c>
      <c r="H12" s="228">
        <v>37895</v>
      </c>
      <c r="I12" s="61">
        <v>6206.46</v>
      </c>
      <c r="K12">
        <v>2022</v>
      </c>
      <c r="L12" s="155" t="s">
        <v>202</v>
      </c>
      <c r="M12" t="s">
        <v>77</v>
      </c>
      <c r="N12" s="65">
        <v>6868.3819047619063</v>
      </c>
      <c r="T12" s="65"/>
      <c r="V12" s="65"/>
    </row>
    <row r="13" spans="1:23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f t="shared" si="0"/>
        <v>2003</v>
      </c>
      <c r="H13" s="228">
        <v>37926</v>
      </c>
      <c r="I13" s="61">
        <v>6155.65</v>
      </c>
      <c r="K13">
        <v>2022</v>
      </c>
      <c r="L13" s="155" t="s">
        <v>201</v>
      </c>
      <c r="M13" t="s">
        <v>76</v>
      </c>
      <c r="N13" s="65">
        <v>6858.1115909090913</v>
      </c>
      <c r="T13" s="65"/>
      <c r="V13" s="65"/>
    </row>
    <row r="14" spans="1:23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f t="shared" si="0"/>
        <v>2003</v>
      </c>
      <c r="H14" s="228">
        <v>37956</v>
      </c>
      <c r="I14" s="61">
        <v>5982.66</v>
      </c>
      <c r="K14">
        <v>2022</v>
      </c>
      <c r="L14" s="155" t="s">
        <v>200</v>
      </c>
      <c r="M14" t="s">
        <v>75</v>
      </c>
      <c r="N14" s="65">
        <v>6852.8014285714289</v>
      </c>
      <c r="T14" s="65"/>
      <c r="V14" s="65"/>
    </row>
    <row r="15" spans="1:23" x14ac:dyDescent="0.25">
      <c r="D15" s="60">
        <v>2015</v>
      </c>
      <c r="E15" s="194">
        <v>188477.32697742901</v>
      </c>
      <c r="G15" s="60">
        <f t="shared" si="0"/>
        <v>2004</v>
      </c>
      <c r="H15" s="228">
        <v>37987</v>
      </c>
      <c r="I15" s="61">
        <v>6190.4761904761908</v>
      </c>
      <c r="K15">
        <v>2022</v>
      </c>
      <c r="L15" s="155" t="s">
        <v>199</v>
      </c>
      <c r="M15" t="s">
        <v>74</v>
      </c>
      <c r="N15" s="65">
        <v>6851.9389473684205</v>
      </c>
      <c r="T15" s="65"/>
      <c r="V15" s="65"/>
    </row>
    <row r="16" spans="1:23" x14ac:dyDescent="0.25">
      <c r="D16" s="60">
        <v>2016</v>
      </c>
      <c r="E16" s="194">
        <v>204647.27307504832</v>
      </c>
      <c r="G16" s="60">
        <f t="shared" si="0"/>
        <v>2004</v>
      </c>
      <c r="H16" s="228">
        <v>38018</v>
      </c>
      <c r="I16" s="61">
        <v>6038.35</v>
      </c>
      <c r="K16">
        <v>2022</v>
      </c>
      <c r="L16" s="155" t="s">
        <v>198</v>
      </c>
      <c r="M16" t="s">
        <v>73</v>
      </c>
      <c r="N16" s="65">
        <v>6962.944130434782</v>
      </c>
      <c r="T16" s="65"/>
      <c r="V16" s="65"/>
    </row>
    <row r="17" spans="4:22" x14ac:dyDescent="0.25">
      <c r="D17" s="60">
        <v>2017</v>
      </c>
      <c r="E17" s="194">
        <v>219122.27720283097</v>
      </c>
      <c r="G17" s="60">
        <f t="shared" si="0"/>
        <v>2004</v>
      </c>
      <c r="H17" s="228">
        <v>38047</v>
      </c>
      <c r="I17" s="61">
        <v>5974.636363636364</v>
      </c>
      <c r="K17">
        <v>2022</v>
      </c>
      <c r="L17" s="155" t="s">
        <v>197</v>
      </c>
      <c r="M17" t="s">
        <v>72</v>
      </c>
      <c r="N17" s="65">
        <v>6966.1513157894742</v>
      </c>
      <c r="T17" s="65"/>
      <c r="V17" s="65"/>
    </row>
    <row r="18" spans="4:22" x14ac:dyDescent="0.25">
      <c r="D18" s="60">
        <v>2018</v>
      </c>
      <c r="E18" s="194">
        <v>230576.47747041125</v>
      </c>
      <c r="G18" s="60">
        <f t="shared" si="0"/>
        <v>2004</v>
      </c>
      <c r="H18" s="228">
        <v>38078</v>
      </c>
      <c r="I18" s="61">
        <v>5730.5</v>
      </c>
      <c r="K18">
        <v>2022</v>
      </c>
      <c r="L18" s="155" t="s">
        <v>196</v>
      </c>
      <c r="M18" t="s">
        <v>71</v>
      </c>
      <c r="N18" s="65">
        <v>6986.9590476190479</v>
      </c>
      <c r="T18" s="65"/>
      <c r="V18" s="65"/>
    </row>
    <row r="19" spans="4:22" x14ac:dyDescent="0.25">
      <c r="D19" s="60">
        <v>2019</v>
      </c>
      <c r="E19" s="194">
        <v>236681.49706074136</v>
      </c>
      <c r="G19" s="60">
        <f t="shared" si="0"/>
        <v>2004</v>
      </c>
      <c r="H19" s="228">
        <v>38108</v>
      </c>
      <c r="I19" s="61">
        <v>5756.9047619047615</v>
      </c>
      <c r="K19">
        <v>2023</v>
      </c>
      <c r="L19" s="155" t="s">
        <v>203</v>
      </c>
      <c r="M19" t="s">
        <v>78</v>
      </c>
      <c r="N19" s="65">
        <v>7273.1797727272724</v>
      </c>
      <c r="T19" s="65"/>
      <c r="V19" s="65"/>
    </row>
    <row r="20" spans="4:22" x14ac:dyDescent="0.25">
      <c r="D20" s="60">
        <v>2020</v>
      </c>
      <c r="E20" s="194">
        <v>239914.72879376091</v>
      </c>
      <c r="G20" s="60">
        <f t="shared" si="0"/>
        <v>2004</v>
      </c>
      <c r="H20" s="228">
        <v>38139</v>
      </c>
      <c r="I20" s="61">
        <v>5922.272727272727</v>
      </c>
      <c r="K20">
        <v>2023</v>
      </c>
      <c r="L20" s="155" t="s">
        <v>202</v>
      </c>
      <c r="M20" t="s">
        <v>77</v>
      </c>
      <c r="N20" s="65">
        <v>7272.6780952380959</v>
      </c>
      <c r="S20" s="65"/>
      <c r="T20" s="65"/>
      <c r="V20" s="65"/>
    </row>
    <row r="21" spans="4:22" x14ac:dyDescent="0.25">
      <c r="D21" s="60">
        <v>2021</v>
      </c>
      <c r="E21" s="194">
        <v>270633.89619649464</v>
      </c>
      <c r="G21" s="60">
        <f t="shared" si="0"/>
        <v>2004</v>
      </c>
      <c r="H21" s="228">
        <v>38169</v>
      </c>
      <c r="I21" s="61">
        <v>5903.409090909091</v>
      </c>
      <c r="K21">
        <v>2023</v>
      </c>
      <c r="L21" s="155" t="s">
        <v>201</v>
      </c>
      <c r="M21" t="s">
        <v>76</v>
      </c>
      <c r="N21" s="65">
        <v>7251.6616666666669</v>
      </c>
      <c r="S21" s="65"/>
      <c r="T21" s="65"/>
      <c r="V21" s="65"/>
    </row>
    <row r="22" spans="4:22" x14ac:dyDescent="0.25">
      <c r="D22" s="60">
        <v>2022</v>
      </c>
      <c r="E22" s="194">
        <v>292946.78898127569</v>
      </c>
      <c r="G22" s="60">
        <f t="shared" si="0"/>
        <v>2004</v>
      </c>
      <c r="H22" s="228">
        <v>38200</v>
      </c>
      <c r="I22" s="61">
        <v>5908.818181818182</v>
      </c>
      <c r="K22">
        <v>2023</v>
      </c>
      <c r="L22" s="155" t="s">
        <v>200</v>
      </c>
      <c r="M22" t="s">
        <v>75</v>
      </c>
      <c r="N22" s="65">
        <v>7207.7045238095252</v>
      </c>
      <c r="S22" s="65"/>
      <c r="V22" s="65"/>
    </row>
    <row r="23" spans="4:22" x14ac:dyDescent="0.25">
      <c r="D23" s="60">
        <v>2023</v>
      </c>
      <c r="E23" s="194">
        <v>313094.9283837775</v>
      </c>
      <c r="F23" s="65"/>
      <c r="G23" s="60">
        <f t="shared" si="0"/>
        <v>2004</v>
      </c>
      <c r="H23" s="228">
        <v>38231</v>
      </c>
      <c r="I23" s="61">
        <v>5919.333333333333</v>
      </c>
      <c r="K23">
        <v>2023</v>
      </c>
      <c r="L23" s="155" t="s">
        <v>199</v>
      </c>
      <c r="M23" t="s">
        <v>74</v>
      </c>
      <c r="N23" s="65">
        <v>7173.0261111111104</v>
      </c>
    </row>
    <row r="24" spans="4:22" x14ac:dyDescent="0.25">
      <c r="D24" s="60">
        <v>2024</v>
      </c>
      <c r="E24" s="194">
        <v>334302.3766856193</v>
      </c>
      <c r="G24" s="60">
        <f t="shared" si="0"/>
        <v>2004</v>
      </c>
      <c r="H24" s="228">
        <v>38261</v>
      </c>
      <c r="I24" s="61">
        <v>5995</v>
      </c>
      <c r="K24">
        <v>2023</v>
      </c>
      <c r="L24" s="155" t="s">
        <v>198</v>
      </c>
      <c r="M24" t="s">
        <v>73</v>
      </c>
      <c r="N24" s="65">
        <v>7184.7078260869566</v>
      </c>
    </row>
    <row r="25" spans="4:22" x14ac:dyDescent="0.25">
      <c r="G25" s="60">
        <f t="shared" si="0"/>
        <v>2004</v>
      </c>
      <c r="H25" s="228">
        <v>38292</v>
      </c>
      <c r="I25" s="61">
        <v>6100</v>
      </c>
      <c r="K25">
        <v>2023</v>
      </c>
      <c r="L25" s="155" t="s">
        <v>197</v>
      </c>
      <c r="M25" t="s">
        <v>72</v>
      </c>
      <c r="N25" s="65">
        <v>7292.0576315789476</v>
      </c>
    </row>
    <row r="26" spans="4:22" x14ac:dyDescent="0.25">
      <c r="F26" s="64"/>
      <c r="G26" s="60">
        <f t="shared" si="0"/>
        <v>2004</v>
      </c>
      <c r="H26" s="228">
        <v>38322</v>
      </c>
      <c r="I26" s="61">
        <v>6185.227272727273</v>
      </c>
      <c r="J26" s="64"/>
      <c r="K26">
        <v>2023</v>
      </c>
      <c r="L26" s="155" t="s">
        <v>196</v>
      </c>
      <c r="M26" t="s">
        <v>71</v>
      </c>
      <c r="N26" s="65">
        <v>7373.170681818181</v>
      </c>
    </row>
    <row r="27" spans="4:22" x14ac:dyDescent="0.25">
      <c r="G27" s="60">
        <f t="shared" si="0"/>
        <v>2005</v>
      </c>
      <c r="H27" s="228">
        <v>38353</v>
      </c>
      <c r="I27" s="61">
        <v>6276.666666666667</v>
      </c>
      <c r="K27">
        <v>2024</v>
      </c>
      <c r="L27" s="155" t="s">
        <v>203</v>
      </c>
      <c r="M27" t="s">
        <v>78</v>
      </c>
      <c r="N27" s="65">
        <v>7598.85619047619</v>
      </c>
    </row>
    <row r="28" spans="4:22" x14ac:dyDescent="0.25">
      <c r="G28" s="60">
        <f t="shared" si="0"/>
        <v>2005</v>
      </c>
      <c r="H28" s="228">
        <v>38384</v>
      </c>
      <c r="I28" s="61">
        <v>6311</v>
      </c>
      <c r="K28">
        <v>2024</v>
      </c>
      <c r="L28" s="155" t="s">
        <v>202</v>
      </c>
      <c r="M28" t="s">
        <v>77</v>
      </c>
      <c r="N28" s="65">
        <v>7554.6780434782604</v>
      </c>
    </row>
    <row r="29" spans="4:22" x14ac:dyDescent="0.25">
      <c r="G29" s="60">
        <f t="shared" si="0"/>
        <v>2005</v>
      </c>
      <c r="H29" s="228">
        <v>38412</v>
      </c>
      <c r="I29" s="61">
        <v>6262.25</v>
      </c>
      <c r="K29">
        <v>2024</v>
      </c>
      <c r="L29" s="155" t="s">
        <v>201</v>
      </c>
      <c r="M29" t="s">
        <v>76</v>
      </c>
      <c r="N29" s="65">
        <v>7529.649736842106</v>
      </c>
    </row>
    <row r="30" spans="4:22" x14ac:dyDescent="0.25">
      <c r="G30" s="60">
        <f t="shared" si="0"/>
        <v>2005</v>
      </c>
      <c r="H30" s="228">
        <v>38443</v>
      </c>
      <c r="I30" s="61">
        <v>6267.75</v>
      </c>
      <c r="K30">
        <v>2024</v>
      </c>
      <c r="L30" s="155" t="s">
        <v>200</v>
      </c>
      <c r="M30" t="s">
        <v>75</v>
      </c>
      <c r="N30" s="65">
        <v>7506.9517499999993</v>
      </c>
    </row>
    <row r="31" spans="4:22" x14ac:dyDescent="0.25">
      <c r="G31" s="60">
        <f t="shared" si="0"/>
        <v>2005</v>
      </c>
      <c r="H31" s="228">
        <v>38473</v>
      </c>
      <c r="I31" s="61">
        <v>6242.727272727273</v>
      </c>
      <c r="K31">
        <v>2024</v>
      </c>
      <c r="L31" s="155" t="s">
        <v>199</v>
      </c>
      <c r="M31" t="s">
        <v>74</v>
      </c>
      <c r="N31" s="65">
        <v>7405.4070454545454</v>
      </c>
    </row>
    <row r="32" spans="4:22" x14ac:dyDescent="0.25">
      <c r="G32" s="60">
        <f t="shared" si="0"/>
        <v>2005</v>
      </c>
      <c r="H32" s="228">
        <v>38504</v>
      </c>
      <c r="I32" s="61">
        <v>6129.318181818182</v>
      </c>
      <c r="K32">
        <v>2024</v>
      </c>
      <c r="L32" s="155" t="s">
        <v>198</v>
      </c>
      <c r="M32" t="s">
        <v>73</v>
      </c>
      <c r="N32" s="65">
        <v>7317.5874999999996</v>
      </c>
    </row>
    <row r="33" spans="7:14" x14ac:dyDescent="0.25">
      <c r="G33" s="60">
        <f t="shared" si="0"/>
        <v>2005</v>
      </c>
      <c r="H33" s="228">
        <v>38534</v>
      </c>
      <c r="I33" s="61">
        <v>6020.4761904761908</v>
      </c>
      <c r="K33">
        <v>2024</v>
      </c>
      <c r="L33" s="155" t="s">
        <v>197</v>
      </c>
      <c r="M33" t="s">
        <v>72</v>
      </c>
      <c r="N33" s="65">
        <v>7285.0480952380958</v>
      </c>
    </row>
    <row r="34" spans="7:14" x14ac:dyDescent="0.25">
      <c r="G34" s="60">
        <f t="shared" si="0"/>
        <v>2005</v>
      </c>
      <c r="H34" s="228">
        <v>38565</v>
      </c>
      <c r="I34" s="61">
        <v>5996.818181818182</v>
      </c>
      <c r="K34">
        <v>2024</v>
      </c>
      <c r="L34" s="155" t="s">
        <v>196</v>
      </c>
      <c r="M34" t="s">
        <v>71</v>
      </c>
      <c r="N34" s="65">
        <v>7282.9988636363632</v>
      </c>
    </row>
    <row r="35" spans="7:14" x14ac:dyDescent="0.25">
      <c r="G35" s="60">
        <f t="shared" si="0"/>
        <v>2005</v>
      </c>
      <c r="H35" s="228">
        <v>38596</v>
      </c>
      <c r="I35" s="61">
        <v>6110.2380952380954</v>
      </c>
    </row>
    <row r="36" spans="7:14" x14ac:dyDescent="0.25">
      <c r="G36" s="60">
        <f t="shared" si="0"/>
        <v>2005</v>
      </c>
      <c r="H36" s="228">
        <v>38626</v>
      </c>
      <c r="I36" s="61">
        <v>6118.8095238095239</v>
      </c>
    </row>
    <row r="37" spans="7:14" x14ac:dyDescent="0.25">
      <c r="G37" s="60">
        <f t="shared" si="0"/>
        <v>2005</v>
      </c>
      <c r="H37" s="228">
        <v>38657</v>
      </c>
      <c r="I37" s="61">
        <v>6127.5</v>
      </c>
    </row>
    <row r="38" spans="7:14" x14ac:dyDescent="0.25">
      <c r="G38" s="60">
        <f t="shared" si="0"/>
        <v>2005</v>
      </c>
      <c r="H38" s="228">
        <v>38687</v>
      </c>
      <c r="I38" s="61">
        <v>6109.5238095238092</v>
      </c>
    </row>
    <row r="39" spans="7:14" x14ac:dyDescent="0.25">
      <c r="G39" s="60">
        <f t="shared" si="0"/>
        <v>2006</v>
      </c>
      <c r="H39" s="228">
        <v>38718</v>
      </c>
      <c r="I39" s="61">
        <v>6125.909090909091</v>
      </c>
    </row>
    <row r="40" spans="7:14" x14ac:dyDescent="0.25">
      <c r="G40" s="60">
        <f t="shared" si="0"/>
        <v>2006</v>
      </c>
      <c r="H40" s="228">
        <v>38749</v>
      </c>
      <c r="I40" s="61">
        <v>6059</v>
      </c>
    </row>
    <row r="41" spans="7:14" x14ac:dyDescent="0.25">
      <c r="G41" s="60">
        <f t="shared" si="0"/>
        <v>2006</v>
      </c>
      <c r="H41" s="228">
        <v>38777</v>
      </c>
      <c r="I41" s="61">
        <v>5884.090909090909</v>
      </c>
    </row>
    <row r="42" spans="7:14" x14ac:dyDescent="0.25">
      <c r="G42" s="60">
        <f t="shared" si="0"/>
        <v>2006</v>
      </c>
      <c r="H42" s="228">
        <v>38808</v>
      </c>
      <c r="I42" s="61">
        <v>5796.666666666667</v>
      </c>
    </row>
    <row r="43" spans="7:14" x14ac:dyDescent="0.25">
      <c r="G43" s="60">
        <f t="shared" si="0"/>
        <v>2006</v>
      </c>
      <c r="H43" s="228">
        <v>38838</v>
      </c>
      <c r="I43" s="61">
        <v>5595.7142857142853</v>
      </c>
    </row>
    <row r="44" spans="7:14" x14ac:dyDescent="0.25">
      <c r="G44" s="60">
        <f t="shared" si="0"/>
        <v>2006</v>
      </c>
      <c r="H44" s="228">
        <v>38869</v>
      </c>
      <c r="I44" s="61">
        <v>5615.2380952380954</v>
      </c>
    </row>
    <row r="45" spans="7:14" x14ac:dyDescent="0.25">
      <c r="G45" s="60">
        <f t="shared" si="0"/>
        <v>2006</v>
      </c>
      <c r="H45" s="228">
        <v>38899</v>
      </c>
      <c r="I45" s="61">
        <v>5491.9047619047615</v>
      </c>
    </row>
    <row r="46" spans="7:14" x14ac:dyDescent="0.25">
      <c r="G46" s="60">
        <f t="shared" si="0"/>
        <v>2006</v>
      </c>
      <c r="H46" s="228">
        <v>38930</v>
      </c>
      <c r="I46" s="61">
        <v>5423.181818181818</v>
      </c>
    </row>
    <row r="47" spans="7:14" x14ac:dyDescent="0.25">
      <c r="G47" s="60">
        <f t="shared" si="0"/>
        <v>2006</v>
      </c>
      <c r="H47" s="228">
        <v>38961</v>
      </c>
      <c r="I47" s="61">
        <v>5398.25</v>
      </c>
    </row>
    <row r="48" spans="7:14" x14ac:dyDescent="0.25">
      <c r="G48" s="60">
        <f t="shared" si="0"/>
        <v>2006</v>
      </c>
      <c r="H48" s="228">
        <v>38991</v>
      </c>
      <c r="I48" s="61">
        <v>5344.772727272727</v>
      </c>
    </row>
    <row r="49" spans="7:9" x14ac:dyDescent="0.25">
      <c r="G49" s="60">
        <f t="shared" si="0"/>
        <v>2006</v>
      </c>
      <c r="H49" s="228">
        <v>39022</v>
      </c>
      <c r="I49" s="61">
        <v>5396.363636363636</v>
      </c>
    </row>
    <row r="50" spans="7:9" x14ac:dyDescent="0.25">
      <c r="G50" s="60">
        <f t="shared" si="0"/>
        <v>2006</v>
      </c>
      <c r="H50" s="228">
        <v>39052</v>
      </c>
      <c r="I50" s="61">
        <v>5313.1578947368425</v>
      </c>
    </row>
    <row r="51" spans="7:9" x14ac:dyDescent="0.25">
      <c r="G51" s="60">
        <f t="shared" si="0"/>
        <v>2007</v>
      </c>
      <c r="H51" s="228">
        <v>39083</v>
      </c>
      <c r="I51" s="61">
        <v>5200.681818181818</v>
      </c>
    </row>
    <row r="52" spans="7:9" x14ac:dyDescent="0.25">
      <c r="G52" s="60">
        <f t="shared" si="0"/>
        <v>2007</v>
      </c>
      <c r="H52" s="228">
        <v>39114</v>
      </c>
      <c r="I52" s="61">
        <v>5204</v>
      </c>
    </row>
    <row r="53" spans="7:9" x14ac:dyDescent="0.25">
      <c r="G53" s="60">
        <f t="shared" si="0"/>
        <v>2007</v>
      </c>
      <c r="H53" s="228">
        <v>39142</v>
      </c>
      <c r="I53" s="61">
        <v>5090.9523809523807</v>
      </c>
    </row>
    <row r="54" spans="7:9" x14ac:dyDescent="0.25">
      <c r="G54" s="60">
        <f t="shared" si="0"/>
        <v>2007</v>
      </c>
      <c r="H54" s="228">
        <v>39173</v>
      </c>
      <c r="I54" s="61">
        <v>5023.1578947368425</v>
      </c>
    </row>
    <row r="55" spans="7:9" x14ac:dyDescent="0.25">
      <c r="G55" s="60">
        <f t="shared" si="0"/>
        <v>2007</v>
      </c>
      <c r="H55" s="228">
        <v>39203</v>
      </c>
      <c r="I55" s="61">
        <v>5045.7142857142853</v>
      </c>
    </row>
    <row r="56" spans="7:9" x14ac:dyDescent="0.25">
      <c r="G56" s="60">
        <f t="shared" si="0"/>
        <v>2007</v>
      </c>
      <c r="H56" s="228">
        <v>39234</v>
      </c>
      <c r="I56" s="61">
        <v>5069.5</v>
      </c>
    </row>
    <row r="57" spans="7:9" x14ac:dyDescent="0.25">
      <c r="G57" s="60">
        <f t="shared" si="0"/>
        <v>2007</v>
      </c>
      <c r="H57" s="228">
        <v>39264</v>
      </c>
      <c r="I57" s="61">
        <v>5110.681818181818</v>
      </c>
    </row>
    <row r="58" spans="7:9" x14ac:dyDescent="0.25">
      <c r="G58" s="60">
        <f t="shared" si="0"/>
        <v>2007</v>
      </c>
      <c r="H58" s="228">
        <v>39295</v>
      </c>
      <c r="I58" s="61">
        <v>5096.136363636364</v>
      </c>
    </row>
    <row r="59" spans="7:9" x14ac:dyDescent="0.25">
      <c r="G59" s="60">
        <f t="shared" si="0"/>
        <v>2007</v>
      </c>
      <c r="H59" s="228">
        <v>39326</v>
      </c>
      <c r="I59" s="61">
        <v>5012.5</v>
      </c>
    </row>
    <row r="60" spans="7:9" x14ac:dyDescent="0.25">
      <c r="G60" s="60">
        <f t="shared" si="0"/>
        <v>2007</v>
      </c>
      <c r="H60" s="228">
        <v>39356</v>
      </c>
      <c r="I60" s="61">
        <v>4952.826086956522</v>
      </c>
    </row>
    <row r="61" spans="7:9" x14ac:dyDescent="0.25">
      <c r="G61" s="60">
        <f t="shared" si="0"/>
        <v>2007</v>
      </c>
      <c r="H61" s="228">
        <v>39387</v>
      </c>
      <c r="I61" s="61">
        <v>4714.318181818182</v>
      </c>
    </row>
    <row r="62" spans="7:9" x14ac:dyDescent="0.25">
      <c r="G62" s="60">
        <f t="shared" si="0"/>
        <v>2007</v>
      </c>
      <c r="H62" s="228">
        <v>39417</v>
      </c>
      <c r="I62" s="61">
        <v>4716.5</v>
      </c>
    </row>
    <row r="63" spans="7:9" x14ac:dyDescent="0.25">
      <c r="G63" s="60">
        <f t="shared" si="0"/>
        <v>2008</v>
      </c>
      <c r="H63" s="228">
        <v>39448</v>
      </c>
      <c r="I63" s="61">
        <v>4704.090909090909</v>
      </c>
    </row>
    <row r="64" spans="7:9" x14ac:dyDescent="0.25">
      <c r="G64" s="60">
        <f t="shared" si="0"/>
        <v>2008</v>
      </c>
      <c r="H64" s="228">
        <v>39479</v>
      </c>
      <c r="I64" s="61">
        <v>4672.8571428571431</v>
      </c>
    </row>
    <row r="65" spans="7:9" x14ac:dyDescent="0.25">
      <c r="G65" s="60">
        <f t="shared" si="0"/>
        <v>2008</v>
      </c>
      <c r="H65" s="228">
        <v>39508</v>
      </c>
      <c r="I65" s="61">
        <v>4524.7368421052633</v>
      </c>
    </row>
    <row r="66" spans="7:9" x14ac:dyDescent="0.25">
      <c r="G66" s="60">
        <f t="shared" si="0"/>
        <v>2008</v>
      </c>
      <c r="H66" s="228">
        <v>39539</v>
      </c>
      <c r="I66" s="61">
        <v>4274.090909090909</v>
      </c>
    </row>
    <row r="67" spans="7:9" x14ac:dyDescent="0.25">
      <c r="G67" s="60">
        <f t="shared" si="0"/>
        <v>2008</v>
      </c>
      <c r="H67" s="228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8">
        <v>39600</v>
      </c>
      <c r="I68" s="61">
        <v>3969</v>
      </c>
    </row>
    <row r="69" spans="7:9" x14ac:dyDescent="0.25">
      <c r="G69" s="60">
        <f t="shared" si="1"/>
        <v>2008</v>
      </c>
      <c r="H69" s="228">
        <v>39630</v>
      </c>
      <c r="I69" s="61">
        <v>3962.8260869565215</v>
      </c>
    </row>
    <row r="70" spans="7:9" x14ac:dyDescent="0.25">
      <c r="G70" s="60">
        <f t="shared" si="1"/>
        <v>2008</v>
      </c>
      <c r="H70" s="228">
        <v>39661</v>
      </c>
      <c r="I70" s="61">
        <v>3974.5</v>
      </c>
    </row>
    <row r="71" spans="7:9" x14ac:dyDescent="0.25">
      <c r="G71" s="60">
        <f t="shared" si="1"/>
        <v>2008</v>
      </c>
      <c r="H71" s="228">
        <v>39692</v>
      </c>
      <c r="I71" s="61">
        <v>3986.6666666666665</v>
      </c>
    </row>
    <row r="72" spans="7:9" x14ac:dyDescent="0.25">
      <c r="G72" s="60">
        <f t="shared" si="1"/>
        <v>2008</v>
      </c>
      <c r="H72" s="228">
        <v>39722</v>
      </c>
      <c r="I72" s="61">
        <v>4351.95652173913</v>
      </c>
    </row>
    <row r="73" spans="7:9" x14ac:dyDescent="0.25">
      <c r="G73" s="60">
        <f t="shared" si="1"/>
        <v>2008</v>
      </c>
      <c r="H73" s="228">
        <v>39753</v>
      </c>
      <c r="I73" s="61">
        <v>4799</v>
      </c>
    </row>
    <row r="74" spans="7:9" x14ac:dyDescent="0.25">
      <c r="G74" s="60">
        <f t="shared" si="1"/>
        <v>2008</v>
      </c>
      <c r="H74" s="228">
        <v>39783</v>
      </c>
      <c r="I74" s="61">
        <v>4874.2857142857147</v>
      </c>
    </row>
    <row r="75" spans="7:9" x14ac:dyDescent="0.25">
      <c r="G75" s="60">
        <f t="shared" si="1"/>
        <v>2009</v>
      </c>
      <c r="H75" s="228">
        <v>39814</v>
      </c>
      <c r="I75" s="61">
        <v>4978.5714285714284</v>
      </c>
    </row>
    <row r="76" spans="7:9" x14ac:dyDescent="0.25">
      <c r="G76" s="60">
        <f t="shared" si="1"/>
        <v>2009</v>
      </c>
      <c r="H76" s="228">
        <v>39845</v>
      </c>
      <c r="I76" s="61">
        <v>5085.75</v>
      </c>
    </row>
    <row r="77" spans="7:9" x14ac:dyDescent="0.25">
      <c r="G77" s="60">
        <f t="shared" si="1"/>
        <v>2009</v>
      </c>
      <c r="H77" s="228">
        <v>39873</v>
      </c>
      <c r="I77" s="61">
        <v>5124.545454545455</v>
      </c>
    </row>
    <row r="78" spans="7:9" x14ac:dyDescent="0.25">
      <c r="G78" s="60">
        <f t="shared" si="1"/>
        <v>2009</v>
      </c>
      <c r="H78" s="228">
        <v>39904</v>
      </c>
      <c r="I78" s="61">
        <v>5034.5</v>
      </c>
    </row>
    <row r="79" spans="7:9" x14ac:dyDescent="0.25">
      <c r="G79" s="60">
        <f t="shared" si="1"/>
        <v>2009</v>
      </c>
      <c r="H79" s="228">
        <v>39934</v>
      </c>
      <c r="I79" s="61">
        <v>5026.8421052631575</v>
      </c>
    </row>
    <row r="80" spans="7:9" x14ac:dyDescent="0.25">
      <c r="G80" s="60">
        <f t="shared" si="1"/>
        <v>2009</v>
      </c>
      <c r="H80" s="228">
        <v>39965</v>
      </c>
      <c r="I80" s="61">
        <v>5016.1904761904761</v>
      </c>
    </row>
    <row r="81" spans="7:9" x14ac:dyDescent="0.25">
      <c r="G81" s="60">
        <f t="shared" si="1"/>
        <v>2009</v>
      </c>
      <c r="H81" s="228">
        <v>39995</v>
      </c>
      <c r="I81" s="61">
        <v>4998.695652173913</v>
      </c>
    </row>
    <row r="82" spans="7:9" x14ac:dyDescent="0.25">
      <c r="G82" s="60">
        <f t="shared" si="1"/>
        <v>2009</v>
      </c>
      <c r="H82" s="228">
        <v>40026</v>
      </c>
      <c r="I82" s="61">
        <v>4944.7619047619046</v>
      </c>
    </row>
    <row r="83" spans="7:9" x14ac:dyDescent="0.25">
      <c r="G83" s="60">
        <f t="shared" si="1"/>
        <v>2009</v>
      </c>
      <c r="H83" s="228">
        <v>40057</v>
      </c>
      <c r="I83" s="61">
        <v>4923.8095238095239</v>
      </c>
    </row>
    <row r="84" spans="7:9" x14ac:dyDescent="0.25">
      <c r="G84" s="60">
        <f t="shared" si="1"/>
        <v>2009</v>
      </c>
      <c r="H84" s="228">
        <v>40087</v>
      </c>
      <c r="I84" s="61">
        <v>4870</v>
      </c>
    </row>
    <row r="85" spans="7:9" x14ac:dyDescent="0.25">
      <c r="G85" s="60">
        <f t="shared" si="1"/>
        <v>2009</v>
      </c>
      <c r="H85" s="228">
        <v>40118</v>
      </c>
      <c r="I85" s="61">
        <v>4828.5714285714284</v>
      </c>
    </row>
    <row r="86" spans="7:9" x14ac:dyDescent="0.25">
      <c r="G86" s="60">
        <f t="shared" si="1"/>
        <v>2009</v>
      </c>
      <c r="H86" s="228">
        <v>40148</v>
      </c>
      <c r="I86" s="61">
        <v>4649.0476190476193</v>
      </c>
    </row>
    <row r="87" spans="7:9" x14ac:dyDescent="0.25">
      <c r="G87" s="60">
        <f t="shared" si="1"/>
        <v>2010</v>
      </c>
      <c r="H87" s="228">
        <v>40179</v>
      </c>
      <c r="I87" s="61">
        <v>4655.5</v>
      </c>
    </row>
    <row r="88" spans="7:9" x14ac:dyDescent="0.25">
      <c r="G88" s="60">
        <f t="shared" si="1"/>
        <v>2010</v>
      </c>
      <c r="H88" s="228">
        <v>40210</v>
      </c>
      <c r="I88" s="61">
        <v>4694.75</v>
      </c>
    </row>
    <row r="89" spans="7:9" x14ac:dyDescent="0.25">
      <c r="G89" s="60">
        <f t="shared" si="1"/>
        <v>2010</v>
      </c>
      <c r="H89" s="228">
        <v>40238</v>
      </c>
      <c r="I89" s="61">
        <v>4693.909090909091</v>
      </c>
    </row>
    <row r="90" spans="7:9" x14ac:dyDescent="0.25">
      <c r="G90" s="60">
        <f t="shared" si="1"/>
        <v>2010</v>
      </c>
      <c r="H90" s="228">
        <v>40269</v>
      </c>
      <c r="I90" s="61">
        <v>4700.1000000000004</v>
      </c>
    </row>
    <row r="91" spans="7:9" x14ac:dyDescent="0.25">
      <c r="G91" s="60">
        <f t="shared" si="1"/>
        <v>2010</v>
      </c>
      <c r="H91" s="228">
        <v>40299</v>
      </c>
      <c r="I91" s="61">
        <v>4726.9523809523807</v>
      </c>
    </row>
    <row r="92" spans="7:9" x14ac:dyDescent="0.25">
      <c r="G92" s="60">
        <f t="shared" si="1"/>
        <v>2010</v>
      </c>
      <c r="H92" s="228">
        <v>40330</v>
      </c>
      <c r="I92" s="61">
        <v>4752.090909090909</v>
      </c>
    </row>
    <row r="93" spans="7:9" x14ac:dyDescent="0.25">
      <c r="G93" s="60">
        <f t="shared" si="1"/>
        <v>2010</v>
      </c>
      <c r="H93" s="228">
        <v>40360</v>
      </c>
      <c r="I93" s="61">
        <v>4757</v>
      </c>
    </row>
    <row r="94" spans="7:9" x14ac:dyDescent="0.25">
      <c r="G94" s="60">
        <f t="shared" si="1"/>
        <v>2010</v>
      </c>
      <c r="H94" s="228">
        <v>40391</v>
      </c>
      <c r="I94" s="61">
        <v>4755.772727272727</v>
      </c>
    </row>
    <row r="95" spans="7:9" x14ac:dyDescent="0.25">
      <c r="G95" s="60">
        <f t="shared" si="1"/>
        <v>2010</v>
      </c>
      <c r="H95" s="228">
        <v>40422</v>
      </c>
      <c r="I95" s="61">
        <v>4783.4761904761908</v>
      </c>
    </row>
    <row r="96" spans="7:9" x14ac:dyDescent="0.25">
      <c r="G96" s="60">
        <f t="shared" si="1"/>
        <v>2010</v>
      </c>
      <c r="H96" s="228">
        <v>40452</v>
      </c>
      <c r="I96" s="61">
        <v>4917.1428571428569</v>
      </c>
    </row>
    <row r="97" spans="7:9" x14ac:dyDescent="0.25">
      <c r="G97" s="60">
        <f t="shared" si="1"/>
        <v>2010</v>
      </c>
      <c r="H97" s="228">
        <v>40483</v>
      </c>
      <c r="I97" s="61">
        <v>4796.636363636364</v>
      </c>
    </row>
    <row r="98" spans="7:9" x14ac:dyDescent="0.25">
      <c r="G98" s="60">
        <f t="shared" si="1"/>
        <v>2010</v>
      </c>
      <c r="H98" s="228">
        <v>40513</v>
      </c>
      <c r="I98" s="61">
        <v>4570.227272727273</v>
      </c>
    </row>
    <row r="99" spans="7:9" x14ac:dyDescent="0.25">
      <c r="G99" s="60">
        <f t="shared" si="1"/>
        <v>2011</v>
      </c>
      <c r="H99" s="228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8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8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8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8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8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8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8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8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8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8">
        <v>40848</v>
      </c>
      <c r="I109" s="61">
        <v>4309</v>
      </c>
    </row>
    <row r="110" spans="7:9" x14ac:dyDescent="0.25">
      <c r="G110" s="60">
        <f t="shared" si="1"/>
        <v>2011</v>
      </c>
      <c r="H110" s="228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8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8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8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8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8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8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8">
        <v>41091</v>
      </c>
      <c r="I117" s="61">
        <v>4438</v>
      </c>
    </row>
    <row r="118" spans="7:9" x14ac:dyDescent="0.25">
      <c r="G118" s="60">
        <f t="shared" si="1"/>
        <v>2012</v>
      </c>
      <c r="H118" s="228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8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8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8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8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8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8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8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8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8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8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8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8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8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8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8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8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8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8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8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8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8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8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8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8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8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8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8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8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8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8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8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8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8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8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8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8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8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8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8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8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8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8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8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8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8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8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8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8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8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8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8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8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8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8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8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8">
        <v>42826</v>
      </c>
      <c r="I174" s="61">
        <v>5569.53</v>
      </c>
    </row>
    <row r="175" spans="7:9" x14ac:dyDescent="0.25">
      <c r="G175" s="60">
        <f t="shared" si="2"/>
        <v>2017</v>
      </c>
      <c r="H175" s="228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8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8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8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8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8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8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8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8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8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8">
        <v>43160</v>
      </c>
      <c r="I185" s="61">
        <v>5531.7945</v>
      </c>
    </row>
    <row r="186" spans="7:9" x14ac:dyDescent="0.25">
      <c r="G186" s="60">
        <f t="shared" si="2"/>
        <v>2018</v>
      </c>
      <c r="H186" s="228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8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8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8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8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8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8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8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8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8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8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8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8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8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8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8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8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8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8">
        <v>43739</v>
      </c>
      <c r="I204" s="61">
        <v>6439.38195652174</v>
      </c>
    </row>
    <row r="205" spans="7:9" x14ac:dyDescent="0.25">
      <c r="G205" s="60">
        <f t="shared" si="3"/>
        <v>2019</v>
      </c>
      <c r="H205" s="228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8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8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8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8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8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8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8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8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8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8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8">
        <v>44105</v>
      </c>
      <c r="I216" s="61">
        <v>7018.63590909091</v>
      </c>
    </row>
    <row r="217" spans="7:9" x14ac:dyDescent="0.25">
      <c r="G217" s="60">
        <f t="shared" si="3"/>
        <v>2020</v>
      </c>
      <c r="H217" s="228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8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8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8">
        <v>44228</v>
      </c>
      <c r="I220" s="61">
        <v>6723.152</v>
      </c>
    </row>
    <row r="221" spans="7:9" x14ac:dyDescent="0.25">
      <c r="G221" s="60">
        <f t="shared" si="3"/>
        <v>2021</v>
      </c>
      <c r="H221" s="228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8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8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8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8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8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8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8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8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8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8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8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8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8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8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8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8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8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8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8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8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8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8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8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8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8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8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8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8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8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8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8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8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8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8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8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8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8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8">
        <v>45413</v>
      </c>
      <c r="I259" s="231">
        <v>7506.9517499999993</v>
      </c>
    </row>
    <row r="260" spans="7:9" x14ac:dyDescent="0.25">
      <c r="G260" s="60">
        <f t="shared" ref="G260:G262" si="4">YEAR(H260)</f>
        <v>2024</v>
      </c>
      <c r="H260" s="228">
        <v>45444</v>
      </c>
      <c r="I260" s="231">
        <v>7529.649736842106</v>
      </c>
    </row>
    <row r="261" spans="7:9" x14ac:dyDescent="0.25">
      <c r="G261" s="60">
        <f t="shared" si="4"/>
        <v>2024</v>
      </c>
      <c r="H261" s="228">
        <v>45474</v>
      </c>
      <c r="I261" s="231">
        <v>7554.6780434782604</v>
      </c>
    </row>
    <row r="262" spans="7:9" x14ac:dyDescent="0.25">
      <c r="G262" s="60">
        <f t="shared" si="4"/>
        <v>2024</v>
      </c>
      <c r="H262" s="228">
        <v>45505</v>
      </c>
      <c r="I262" s="229">
        <v>7598.85619047619</v>
      </c>
    </row>
    <row r="263" spans="7:9" x14ac:dyDescent="0.25">
      <c r="H263" s="155"/>
    </row>
    <row r="264" spans="7:9" x14ac:dyDescent="0.25">
      <c r="H264" s="155"/>
    </row>
    <row r="265" spans="7:9" x14ac:dyDescent="0.25">
      <c r="H265" s="155"/>
    </row>
    <row r="266" spans="7:9" x14ac:dyDescent="0.25">
      <c r="H266" s="155"/>
    </row>
    <row r="267" spans="7:9" x14ac:dyDescent="0.25">
      <c r="H267" s="155"/>
    </row>
    <row r="268" spans="7:9" x14ac:dyDescent="0.25">
      <c r="H268" s="15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 2 0 2 4 - 0 8 - 3 0 T 1 2 : 1 2 : 3 6 . 7 4 4 1 5 5 2 - 0 4 : 0 0 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2C48D2A5-D46F-4402-94C2-7C771042B6BE}">
  <ds:schemaRefs/>
</ds:datastoreItem>
</file>

<file path=customXml/itemProps10.xml><?xml version="1.0" encoding="utf-8"?>
<ds:datastoreItem xmlns:ds="http://schemas.openxmlformats.org/officeDocument/2006/customXml" ds:itemID="{B0173BFA-81D8-4B94-AFA5-4E01D00974A2}">
  <ds:schemaRefs/>
</ds:datastoreItem>
</file>

<file path=customXml/itemProps11.xml><?xml version="1.0" encoding="utf-8"?>
<ds:datastoreItem xmlns:ds="http://schemas.openxmlformats.org/officeDocument/2006/customXml" ds:itemID="{C0CFDE4F-EE17-40AB-BBE0-A28B70674B90}">
  <ds:schemaRefs/>
</ds:datastoreItem>
</file>

<file path=customXml/itemProps12.xml><?xml version="1.0" encoding="utf-8"?>
<ds:datastoreItem xmlns:ds="http://schemas.openxmlformats.org/officeDocument/2006/customXml" ds:itemID="{4A68D4CC-A3B8-4521-8EE3-C8151FFA7395}">
  <ds:schemaRefs/>
</ds:datastoreItem>
</file>

<file path=customXml/itemProps13.xml><?xml version="1.0" encoding="utf-8"?>
<ds:datastoreItem xmlns:ds="http://schemas.openxmlformats.org/officeDocument/2006/customXml" ds:itemID="{1E9C93AF-8BD2-4FC4-9589-7E5FB16CDCB8}">
  <ds:schemaRefs/>
</ds:datastoreItem>
</file>

<file path=customXml/itemProps14.xml><?xml version="1.0" encoding="utf-8"?>
<ds:datastoreItem xmlns:ds="http://schemas.openxmlformats.org/officeDocument/2006/customXml" ds:itemID="{08E51D19-2E06-4AAD-A876-484C0F00036C}">
  <ds:schemaRefs/>
</ds:datastoreItem>
</file>

<file path=customXml/itemProps15.xml><?xml version="1.0" encoding="utf-8"?>
<ds:datastoreItem xmlns:ds="http://schemas.openxmlformats.org/officeDocument/2006/customXml" ds:itemID="{3E711774-95B6-4A82-984E-8287B4BFC2D7}">
  <ds:schemaRefs/>
</ds:datastoreItem>
</file>

<file path=customXml/itemProps16.xml><?xml version="1.0" encoding="utf-8"?>
<ds:datastoreItem xmlns:ds="http://schemas.openxmlformats.org/officeDocument/2006/customXml" ds:itemID="{445DC530-7859-4056-894E-08F6F82B9DD0}">
  <ds:schemaRefs/>
</ds:datastoreItem>
</file>

<file path=customXml/itemProps2.xml><?xml version="1.0" encoding="utf-8"?>
<ds:datastoreItem xmlns:ds="http://schemas.openxmlformats.org/officeDocument/2006/customXml" ds:itemID="{8C31DAE3-5F21-4DCF-A926-47905889BF68}">
  <ds:schemaRefs/>
</ds:datastoreItem>
</file>

<file path=customXml/itemProps3.xml><?xml version="1.0" encoding="utf-8"?>
<ds:datastoreItem xmlns:ds="http://schemas.openxmlformats.org/officeDocument/2006/customXml" ds:itemID="{9DE93DF6-EED4-443F-BEFB-DF5CA26D3E86}">
  <ds:schemaRefs/>
</ds:datastoreItem>
</file>

<file path=customXml/itemProps4.xml><?xml version="1.0" encoding="utf-8"?>
<ds:datastoreItem xmlns:ds="http://schemas.openxmlformats.org/officeDocument/2006/customXml" ds:itemID="{E79C05DC-125D-4105-978D-57DCAE16C8F3}">
  <ds:schemaRefs/>
</ds:datastoreItem>
</file>

<file path=customXml/itemProps5.xml><?xml version="1.0" encoding="utf-8"?>
<ds:datastoreItem xmlns:ds="http://schemas.openxmlformats.org/officeDocument/2006/customXml" ds:itemID="{F9FD969B-CEEB-4C73-A209-8E18308BEC3C}">
  <ds:schemaRefs/>
</ds:datastoreItem>
</file>

<file path=customXml/itemProps6.xml><?xml version="1.0" encoding="utf-8"?>
<ds:datastoreItem xmlns:ds="http://schemas.openxmlformats.org/officeDocument/2006/customXml" ds:itemID="{520A2E4E-0DE2-41D8-A1F3-4E044C06BDA1}">
  <ds:schemaRefs/>
</ds:datastoreItem>
</file>

<file path=customXml/itemProps7.xml><?xml version="1.0" encoding="utf-8"?>
<ds:datastoreItem xmlns:ds="http://schemas.openxmlformats.org/officeDocument/2006/customXml" ds:itemID="{2B27D2BE-DB0C-442A-9B9A-319DB9737AF5}">
  <ds:schemaRefs/>
</ds:datastoreItem>
</file>

<file path=customXml/itemProps8.xml><?xml version="1.0" encoding="utf-8"?>
<ds:datastoreItem xmlns:ds="http://schemas.openxmlformats.org/officeDocument/2006/customXml" ds:itemID="{39784B48-2F0D-4D5C-85AC-0F6C8D383958}">
  <ds:schemaRefs/>
</ds:datastoreItem>
</file>

<file path=customXml/itemProps9.xml><?xml version="1.0" encoding="utf-8"?>
<ds:datastoreItem xmlns:ds="http://schemas.openxmlformats.org/officeDocument/2006/customXml" ds:itemID="{F1357F19-81D4-4D5E-AA1B-509255AD82D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2024-09-13T14:05:54Z</dcterms:modified>
</cp:coreProperties>
</file>