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363576FF-1265-4DEF-8BC6-CA272D9EFBA5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Aux!$H$3:$I$259</definedName>
    <definedName name="tipo_cambio">Aux!$G$3:$I$24</definedName>
  </definedNames>
  <calcPr calcId="191029"/>
  <pivotCaches>
    <pivotCache cacheId="1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Q5" i="3"/>
  <c r="Q6" i="3"/>
  <c r="P6" i="3"/>
  <c r="P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8" i="10" s="1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T38" i="10" l="1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D31" i="12" s="1"/>
  <c r="R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V38" i="10" l="1"/>
  <c r="T43" i="10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abril 2024</t>
        </r>
      </text>
    </comment>
    <comment ref="I259" authorId="0" shapeId="0" xr:uid="{A0CBD933-7619-4EE3-9251-D21B32E48027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Modificar al cierre de mayo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<sst xmlns="http://schemas.openxmlformats.org/spreadsheetml/2006/main" count="457" uniqueCount="209">
  <si>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</si>
  <si>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</si>
  <si>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</si>
  <si>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</si>
  <si>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</si>
  <si>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</si>
  <si>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</si>
  <si>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</si>
  <si>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</si>
  <si>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</si>
  <si>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</si>
  <si>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</si>
  <si>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</si>
  <si>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</si>
  <si>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</si>
  <si>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</si>
  <si>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</si>
  <si>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</si>
  <si>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</si>
  <si>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</si>
  <si>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</si>
  <si>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</si>
  <si>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</si>
  <si>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</si>
  <si>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</si>
  <si>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</si>
  <si>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</si>
  <si>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</si>
  <si>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</si>
  <si>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</si>
  <si>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</si>
  <si>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</si>
  <si>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</si>
  <si>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</si>
  <si>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</si>
  <si>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</si>
  <si>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</si>
  <si>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</si>
  <si>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</si>
  <si>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</si>
  <si>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</si>
  <si>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</si>
  <si>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</si>
  <si>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</si>
  <si>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</si>
  <si>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</si>
  <si>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</si>
  <si>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</si>
  <si>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</si>
  <si>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</si>
  <si>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</si>
  <si>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</si>
  <si>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</si>
  <si>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</si>
  <si>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</si>
  <si>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</si>
  <si>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</si>
  <si>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</si>
  <si>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</si>
  <si>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</si>
  <si>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</si>
  <si>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</si>
  <si>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</si>
  <si>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</si>
  <si>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</si>
  <si>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</si>
  <si>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</si>
  <si>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</si>
  <si>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</si>
  <si>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</si>
  <si>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</si>
  <si>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</si>
  <si>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</si>
  <si>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</si>
  <si>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</si>
  <si>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</si>
  <si>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</si>
  <si>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</si>
  <si>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</si>
  <si>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</si>
  <si>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</si>
  <si>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</si>
  <si>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</si>
  <si>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</si>
  <si>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</si>
  <si>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</si>
  <si>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</si>
  <si>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</si>
  <si>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</si>
  <si>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</si>
  <si>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</si>
  <si>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</si>
  <si>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</si>
  <si>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</si>
  <si>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</si>
  <si>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</si>
  <si>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</si>
  <si>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</si>
  <si>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</si>
  <si>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</si>
  <si>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</si>
  <si>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</si>
  <si>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</si>
  <si>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</si>
  <si>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</si>
  <si>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</si>
  <si>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</si>
  <si>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</si>
  <si>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</si>
  <si>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</si>
  <si>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</si>
  <si>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</si>
  <si>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</si>
  <si>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</si>
  <si>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</si>
  <si>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</si>
  <si>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</si>
  <si>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</si>
  <si>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</si>
  <si>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</si>
  <si>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</si>
  <si>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</si>
  <si>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</si>
  <si>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</si>
  <si>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</si>
  <si>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</si>
  <si>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</si>
  <si>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</si>
  <si>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</si>
  <si>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</si>
  <si>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</si>
  <si>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</si>
  <si>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</si>
  <si>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</si>
  <si>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</si>
  <si>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</si>
  <si>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</si>
  <si>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</si>
  <si>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</si>
  <si>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</si>
  <si>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</si>
  <si>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</si>
  <si>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</si>
  <si>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</si>
  <si>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</si>
  <si>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</si>
  <si>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</si>
  <si>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</si>
  <si>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</si>
  <si>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</si>
  <si>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</si>
  <si>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</si>
  <si>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</si>
  <si>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</si>
  <si>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</si>
  <si>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</si>
  <si>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</si>
  <si>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</si>
  <si>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</si>
  <si>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</si>
  <si>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</si>
  <si>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</si>
  <si>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</si>
  <si>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</si>
  <si>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</si>
  <si>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</si>
  <si>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</si>
  <si>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</si>
  <si>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</si>
  <si>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</si>
  <si>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</si>
  <si>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</si>
  <si>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</si>
  <si>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</si>
  <si>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</si>
  <si>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</si>
  <si>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</si>
  <si>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</si>
  <si>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</si>
  <si>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</si>
  <si>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</si>
  <si>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</si>
  <si>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</si>
  <si>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</si>
  <si>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</si>
  <si>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</si>
  <si>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</si>
  <si>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</si>
  <si>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</si>
  <si>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</si>
  <si>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</si>
  <si>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</si>
  <si>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</si>
  <si>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</si>
  <si>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</si>
  <si>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</si>
  <si>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</si>
  <si>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</si>
  <si>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</si>
  <si>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</si>
  <si>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</si>
  <si>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</si>
  <si>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</si>
  <si>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</si>
  <si>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</si>
  <si>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</si>
  <si>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</si>
  <si>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Ejecución
Mayo
2023</t>
  </si>
  <si>
    <t>Ejecución
Mayo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</si>
</sst>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2" formatCode="0.0%;[Red]0.0%"/>
    <numFmt numFmtId="183" formatCode="#,##0.0000"/>
    <numFmt numFmtId="184" formatCode="#,##0.0\ [$USD]"/>
    <numFmt numFmtId="185" formatCode="0.0%;[White]0.0%"/>
    <numFmt numFmtId="186" formatCode="[$USD]\ #,##0.0;[$USD]\ \-#,##0.0"/>
    <numFmt numFmtId="187" formatCode="#,##0.00;\(#,##0.00\)"/>
    <numFmt numFmtId="189" formatCode="[$PYG]\ #,##0.0;[$PYG]\ \-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0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3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4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2" fontId="47" fillId="0" borderId="0" xfId="1" applyNumberFormat="1" applyFont="1" applyBorder="1" applyAlignment="1">
      <alignment horizontal="right"/>
    </xf>
    <xf numFmtId="185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6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7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6" fontId="0" fillId="0" borderId="0" xfId="0" applyNumberFormat="1"/>
    <xf numFmtId="189" fontId="0" fillId="0" borderId="0" xfId="1" applyNumberFormat="1" applyFont="1" applyBorder="1"/>
    <xf numFmtId="17" fontId="0" fillId="0" borderId="4" xfId="0" applyNumberFormat="1" applyBorder="1"/>
    <xf numFmtId="3" fontId="0" fillId="2" borderId="4" xfId="0" applyNumberFormat="1" applyFill="1" applyBorder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20% BID; USD 151,0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CAF; USD 149,4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41% BONOS; USD 316,5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44,1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5% OFID; USD 38,4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9% OTROS; USD 72,8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9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20% BID; USD 151,0</a:t>
          </a:r>
        </a:p>
      </dsp:txBody>
      <dsp:txXfrm>
        <a:off x="14621" y="54214"/>
        <a:ext cx="1976608" cy="270278"/>
      </dsp:txXfrm>
    </dsp:sp>
    <dsp:sp modelId="{0D666006-1837-4A28-932F-50B679C0692E}">
      <dsp:nvSpPr>
        <dsp:cNvPr id="0" name=""/>
        <dsp:cNvSpPr/>
      </dsp:nvSpPr>
      <dsp:spPr>
        <a:xfrm>
          <a:off x="0" y="377644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CAF; USD 149,4</a:t>
          </a:r>
        </a:p>
      </dsp:txBody>
      <dsp:txXfrm>
        <a:off x="14621" y="392265"/>
        <a:ext cx="1976608" cy="270278"/>
      </dsp:txXfrm>
    </dsp:sp>
    <dsp:sp modelId="{9C34921F-1EBE-4C36-AC6D-74BE6E9E4C7E}">
      <dsp:nvSpPr>
        <dsp:cNvPr id="0" name=""/>
        <dsp:cNvSpPr/>
      </dsp:nvSpPr>
      <dsp:spPr>
        <a:xfrm>
          <a:off x="0" y="7307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41% BONOS; USD 316,5</a:t>
          </a:r>
        </a:p>
      </dsp:txBody>
      <dsp:txXfrm>
        <a:off x="14621" y="745414"/>
        <a:ext cx="1976608" cy="270278"/>
      </dsp:txXfrm>
    </dsp:sp>
    <dsp:sp modelId="{399C80D5-4A8C-41CC-9CD9-5EE6570C022A}">
      <dsp:nvSpPr>
        <dsp:cNvPr id="0" name=""/>
        <dsp:cNvSpPr/>
      </dsp:nvSpPr>
      <dsp:spPr>
        <a:xfrm>
          <a:off x="0" y="10763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44,1</a:t>
          </a:r>
        </a:p>
      </dsp:txBody>
      <dsp:txXfrm>
        <a:off x="14621" y="1091014"/>
        <a:ext cx="1976608" cy="270278"/>
      </dsp:txXfrm>
    </dsp:sp>
    <dsp:sp modelId="{2560457B-587D-45C6-B1E3-750BC51083D9}">
      <dsp:nvSpPr>
        <dsp:cNvPr id="0" name=""/>
        <dsp:cNvSpPr/>
      </dsp:nvSpPr>
      <dsp:spPr>
        <a:xfrm>
          <a:off x="0" y="14219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5% OFID; USD 38,4</a:t>
          </a:r>
        </a:p>
      </dsp:txBody>
      <dsp:txXfrm>
        <a:off x="14621" y="1436614"/>
        <a:ext cx="1976608" cy="270278"/>
      </dsp:txXfrm>
    </dsp:sp>
    <dsp:sp modelId="{CC4A0EB8-B574-4474-8026-DBB4FEDF31CB}">
      <dsp:nvSpPr>
        <dsp:cNvPr id="0" name=""/>
        <dsp:cNvSpPr/>
      </dsp:nvSpPr>
      <dsp:spPr>
        <a:xfrm>
          <a:off x="0" y="1767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9% OTROS; USD 72,8</a:t>
          </a:r>
        </a:p>
      </dsp:txBody>
      <dsp:txXfrm>
        <a:off x="14621" y="1782214"/>
        <a:ext cx="1976608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-1.390,3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-3,2%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1.220,0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-0,9%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2,3%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91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911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-395,7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911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-1,5%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9,0%.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(↑26,3%).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Disminución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(↓13,2%).</a:t>
          </a:r>
        </a:p>
      </xdr:txBody>
    </xdr:sp>
    <xdr:clientData/>
  </xdr:twoCellAnchor>
  <xdr:twoCellAnchor>
    <xdr:from>
      <xdr:col>5</xdr:col>
      <xdr:colOff>78441</xdr:colOff>
      <xdr:row>17</xdr:row>
      <xdr:rowOff>123265</xdr:rowOff>
    </xdr:from>
    <xdr:to>
      <xdr:col>9</xdr:col>
      <xdr:colOff>135590</xdr:colOff>
      <xdr:row>24</xdr:row>
      <xdr:rowOff>63315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92706" y="3585883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↑26,9%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↑25,2%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Otros ingresos aumentan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↑12,8%)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explicado principalmente por los recursos de Itaipú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(↑USD 4,9 millones).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↑33,9% y ↑28,1%,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5</xdr:col>
      <xdr:colOff>112396</xdr:colOff>
      <xdr:row>53</xdr:row>
      <xdr:rowOff>35299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802341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↑3,9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↑24,5%)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772,2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447,8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415738</xdr:colOff>
      <xdr:row>0</xdr:row>
      <xdr:rowOff>78441</xdr:rowOff>
    </xdr:from>
    <xdr:to>
      <xdr:col>13</xdr:col>
      <xdr:colOff>561414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8226238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796290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8</xdr:row>
      <xdr:rowOff>0</xdr:rowOff>
    </xdr:from>
    <xdr:to>
      <xdr:col>18</xdr:col>
      <xdr:colOff>404532</xdr:colOff>
      <xdr:row>17</xdr:row>
      <xdr:rowOff>35858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7B114B7E-7E88-4DC9-AE44-36F928DBC3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96450" y="1914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446.492581250001" createdVersion="6" refreshedVersion="6" minRefreshableVersion="3" recordCount="257" xr:uid="{00000000-000A-0000-FFFF-FFFF01000000}">
  <cacheSource type="worksheet">
    <worksheetSource name="Datos1"/>
  </cacheSource>
  <cacheFields count="142">
    <cacheField name="Periodo" numFmtId="17">
      <sharedItems containsSemiMixedTypes="0" containsNonDate="0" containsDate="1" containsString="0" minDate="2003-01-01T00:00:00" maxDate="2024-05-02T00:00:00" count="257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  <fieldGroup par="141" base="0">
        <rangePr groupBy="months" startDate="2003-01-01T00:00:00" endDate="2024-05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5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4026.25081226527"/>
    </cacheField>
    <cacheField name="Tipo de cambio Gs./US$" numFmtId="3">
      <sharedItems containsSemiMixedTypes="0" containsString="0" containsNumber="1" minValue="3873.0454545454545" maxValue="7511.5984210526312"/>
    </cacheField>
    <cacheField name="Ingreso Total (Recaudado)" numFmtId="164">
      <sharedItems containsSemiMixedTypes="0" containsString="0" containsNumber="1" minValue="377.89362093800003" maxValue="5399.7407134360001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7508.150949371004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4784807799997"/>
    </cacheField>
    <cacheField name="Presión Tributaria" numFmtId="164">
      <sharedItems containsSemiMixedTypes="0" containsString="0" containsNumber="1" minValue="0.44839968072897068" maxValue="1.313513075727069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5161.954382599004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846.6344762150002"/>
    </cacheField>
    <cacheField name="Imp. Internos suma 12 meses" numFmtId="164">
      <sharedItems containsString="0" containsBlank="1" containsNumber="1" minValue="1629.2645083789998" maxValue="20547.229682309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3605.240211532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8344711620313785" maxValue="178.4717149544560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6657784637288769" maxValue="45.926613312529049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1539141528785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50376.246560373991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39655112422391"/>
    </cacheField>
    <cacheField name="Gasto corr. anualizado" numFmtId="164">
      <sharedItems containsString="0" containsBlank="1" containsNumber="1" minValue="4933.4677585969994" maxValue="47331.666838903999"/>
    </cacheField>
    <cacheField name="Gasto corr. anualizado (% del PIB)" numFmtId="164">
      <sharedItems containsString="0" containsBlank="1" containsNumber="1" minValue="8.3314725387853326" maxValue="15.287857712876203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29298891653"/>
    </cacheField>
    <cacheField name="Gto. Corr. Primario anualizado" numFmtId="164">
      <sharedItems containsString="0" containsBlank="1" containsNumber="1" minValue="4501.872478882" maxValue="41587.748176837995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124.700156014005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23.93745091200003"/>
    </cacheField>
    <cacheField name="Intereses (millones de US$)" numFmtId="164">
      <sharedItems containsSemiMixedTypes="0" containsString="0" containsNumber="1" minValue="0.36577484541023186" maxValue="126.26257641770599"/>
    </cacheField>
    <cacheField name="Intereses (% del PIB)" numFmtId="164">
      <sharedItems containsSemiMixedTypes="0" containsString="0" containsNumber="1" minValue="1.9677860282400874E-3" maxValue="0.29129407717086991"/>
    </cacheField>
    <cacheField name="Intereses anualizados" numFmtId="164">
      <sharedItems containsString="0" containsBlank="1" containsNumber="1" minValue="244.70811811499999" maxValue="5743.9186620659993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3.7080083730007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382972883829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617910531886962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6.2476786220006"/>
    </cacheField>
    <cacheField name="RON primario (% del PIB)" numFmtId="164">
      <sharedItems containsSemiMixedTypes="0" containsString="0" containsNumber="1" minValue="-1.1483548408381101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035009171546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40639952972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8.1620764600007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044276023866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3.4"/>
    </cacheField>
    <cacheField name="Ingreso Total def." numFmtId="168">
      <sharedItems containsMixedTypes="1" containsNumber="1" minValue="786.57237707066849" maxValue="3958.7456571311845"/>
    </cacheField>
    <cacheField name="Ing. Total def. suma 12m" numFmtId="168">
      <sharedItems containsBlank="1" containsMixedTypes="1" containsNumber="1" minValue="12913.240731654379" maxValue="35744.263632663831"/>
    </cacheField>
    <cacheField name="% Var. Real Ing. Total" numFmtId="0">
      <sharedItems containsBlank="1" containsMixedTypes="1" containsNumber="1" minValue="-8.931243730535543E-2" maxValue="0.2436866189075575"/>
    </cacheField>
    <cacheField name="Ingresos Tributarios def." numFmtId="168">
      <sharedItems containsMixedTypes="1" containsNumber="1" minValue="496.31831362554675" maxValue="3045.8024942893553"/>
    </cacheField>
    <cacheField name="Ing. Trib. Def Sum12m" numFmtId="168">
      <sharedItems containsBlank="1" containsMixedTypes="1" containsNumber="1" minValue="7880.3599714699139" maxValue="26277.656822539684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8431.04590524581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5-02T00:00:00"/>
        <groupItems count="6">
          <s v="&lt;1/1/2003"/>
          <s v="Trim.1"/>
          <s v="Trim.2"/>
          <s v="Trim.3"/>
          <s v="Trim.4"/>
          <s v="&gt;2/5/2024"/>
        </groupItems>
      </fieldGroup>
    </cacheField>
    <cacheField name="Años" numFmtId="0" databaseField="0">
      <fieldGroup base="0">
        <rangePr groupBy="years" startDate="2003-01-01T00:00:00" endDate="2024-05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5/2024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">
  <r>
    <x v="0"/>
    <x v="0"/>
    <x v="0"/>
    <x v="0"/>
    <n v="49411.959699781924"/>
    <n v="7088.75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102.70887862978"/>
    <n v="7373.170681818181"/>
    <n v="3160.2397387120004"/>
    <n v="1.0093300533969594"/>
    <n v="3160.2397387120004"/>
    <n v="41327.270772452997"/>
    <n v="6.9517947710427963E-2"/>
    <n v="6.9517947710427963E-2"/>
    <n v="0.11618148521496563"/>
    <n v="2313.7939413660006"/>
    <n v="0.73898879688802466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0899256942912E-2"/>
    <n v="91.270490181999989"/>
    <n v="2.9150335526921235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9013842194023727"/>
    <n v="3100.1502207429999"/>
    <n v="41969.121587536007"/>
    <n v="2972.7567628829997"/>
    <n v="0.94945098799363958"/>
    <n v="39197.617703605007"/>
    <n v="13.315130457188092"/>
    <n v="2678.5949338599999"/>
    <n v="0.85550040223328838"/>
    <n v="35437.712692139998"/>
    <n v="12.038117515805363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950585760351243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91631456722234E-2"/>
    <n v="-75.465664395214375"/>
    <n v="-0.22042196372655512"/>
    <n v="354.25134699200055"/>
    <n v="0.11314221721707349"/>
    <n v="360.286152238"/>
    <n v="360.286152238"/>
    <n v="8589.2474462449736"/>
    <n v="1.3953438761408505"/>
    <n v="1.3953438761408505"/>
    <n v="0.11891441601601471"/>
    <n v="48.864480124737263"/>
    <n v="0.11506963754109845"/>
    <n v="0.11506963754109845"/>
    <n v="2.9240989915146436"/>
    <n v="319.86005540600001"/>
    <n v="43.381615482570702"/>
    <n v="855.27072588603892"/>
    <n v="51.664655070999999"/>
    <n v="7.0071150256160619"/>
    <n v="40.426096831999985"/>
    <n v="5.4828646421665557"/>
    <n v="3460.4363729809997"/>
    <n v="1.1052080594813356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878006084376216E-2"/>
    <n v="-3.1445209552411986"/>
    <n v="-6.0348052459994506"/>
    <n v="-5471.1932498629758"/>
    <n v="-1.9274203240249718E-3"/>
    <n v="-1.8675080138584683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102.70887862978"/>
    <n v="7292.0576315789476"/>
    <n v="2725.3689210520001"/>
    <n v="0.87043926602003752"/>
    <n v="5885.6086597640005"/>
    <n v="41033.59822876101"/>
    <n v="-1.4774194650062911E-2"/>
    <n v="-9.7273438315264138E-2"/>
    <n v="0.10340210325169341"/>
    <n v="1882.3280705669999"/>
    <n v="0.6011854951075048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1409188288424E-2"/>
    <n v="165.24954907400002"/>
    <n v="5.2778064318203283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81503078403158"/>
    <n v="6319.3166859350004"/>
    <n v="42279.835645444007"/>
    <n v="3069.2396354269999"/>
    <n v="0.98026607512257302"/>
    <n v="39494.368792817004"/>
    <n v="13.348982831769229"/>
    <n v="3028.7358025949998"/>
    <n v="0.96732979840460276"/>
    <n v="35949.824435814997"/>
    <n v="12.146375239151016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936276717970136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71104182027826"/>
    <n v="-159.05804132190755"/>
    <n v="-0.41588356695239592"/>
    <n v="-453.2937113079999"/>
    <n v="-0.14477476510230813"/>
    <n v="535.47513248199994"/>
    <n v="895.76128471999994"/>
    <n v="8420.3949454869726"/>
    <n v="-0.2397357320502338"/>
    <n v="4.7994337592695668E-2"/>
    <n v="3.6501611462896877E-2"/>
    <n v="73.432652282268592"/>
    <n v="0.17102219728465204"/>
    <n v="0.28609183482575051"/>
    <n v="2.8546926673980866"/>
    <n v="484.16051696599999"/>
    <n v="66.395596610385653"/>
    <n v="826.45494089268846"/>
    <n v="0"/>
    <n v="0"/>
    <n v="51.314615515999947"/>
    <n v="7.0370556718829445"/>
    <n v="3754.641597674"/>
    <n v="1.1991725051249678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87332391049303"/>
    <n v="-3.2705762343504827"/>
    <n v="-988.76884378999989"/>
    <n v="-6122.088005167976"/>
    <n v="-0.3157969623869602"/>
    <n v="-2.0679686417322705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102.70887862978"/>
    <n v="7184.7078260869566"/>
    <n v="3663.6910619100004"/>
    <n v="1.1701243579244096"/>
    <n v="9549.2997216740005"/>
    <n v="41431.88683944301"/>
    <n v="3.3555629312340463E-2"/>
    <n v="0.12197228875485733"/>
    <n v="9.8464250976300516E-2"/>
    <n v="2541.6816199550003"/>
    <n v="0.81177247844899691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3879829598352"/>
    <n v="179.154591735"/>
    <n v="5.7219112660071861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841775579437672"/>
    <n v="10653.214115547002"/>
    <n v="42707.190716779005"/>
    <n v="3992.5557868650003"/>
    <n v="1.2751584938898319"/>
    <n v="39970.797097813003"/>
    <n v="13.423879839914036"/>
    <n v="3207.8848974200005"/>
    <n v="1.0245471554394936"/>
    <n v="36198.319977865001"/>
    <n v="12.160708435372424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5061133845033817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405320001935754"/>
    <n v="-160.26152992475892"/>
    <n v="-0.41107793964732087"/>
    <n v="114.46452174299986"/>
    <n v="3.6558138430980665E-2"/>
    <n v="615.89220963100001"/>
    <n v="1511.6534943510001"/>
    <n v="8253.577307148973"/>
    <n v="-0.21312832433482654"/>
    <n v="-7.682380292389035E-2"/>
    <n v="-1.2399693287412861E-2"/>
    <n v="85.722652129952579"/>
    <n v="0.19670612618996622"/>
    <n v="0.48279796101571676"/>
    <n v="2.7842138038870639"/>
    <n v="513.56038788399997"/>
    <n v="71.47964820772718"/>
    <n v="802.24414003294692"/>
    <n v="138.82846017199998"/>
    <n v="19.322770463668366"/>
    <n v="102.33182174700005"/>
    <n v="14.2430039222254"/>
    <n v="4949.7896392430002"/>
    <n v="1.5808836841337333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1075932620932376"/>
    <n v="-3.1952917435343848"/>
    <n v="-501.42768788800015"/>
    <n v="-5756.404064536976"/>
    <n v="-0.16014798775898553"/>
    <n v="-1.93212033899277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102.70887862978"/>
    <n v="7173.0261111111104"/>
    <n v="3757.1571939859996"/>
    <n v="1.1999759463730519"/>
    <n v="13306.456915660001"/>
    <n v="41232.919674003999"/>
    <n v="8.4167517617330656E-3"/>
    <n v="-5.0293455756764693E-2"/>
    <n v="6.9894015276731336E-2"/>
    <n v="2929.0321687449996"/>
    <n v="0.93548605160117004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1965807614243E-2"/>
    <n v="109.46923441599999"/>
    <n v="3.4962723512697018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412327946867066"/>
    <n v="14539.547619201001"/>
    <n v="43396.025695812998"/>
    <n v="3693.7406979529997"/>
    <n v="1.1797217313072914"/>
    <n v="40700.027800254"/>
    <n v="13.591639635805992"/>
    <n v="3248.3596990299998"/>
    <n v="1.0374741600492459"/>
    <n v="36833.930378629004"/>
    <n v="12.30629731231211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224757125804563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256848313654705E-2"/>
    <n v="-288.98710879564743"/>
    <n v="-0.71129848489826808"/>
    <n v="316.20468925499989"/>
    <n v="0.10099072294439092"/>
    <n v="886.91010285099992"/>
    <n v="2398.563597202"/>
    <n v="8504.9420276649726"/>
    <n v="0.39551026174162995"/>
    <n v="5.524418629258987E-2"/>
    <n v="1.0012132223562897E-2"/>
    <n v="123.64517974877641"/>
    <n v="0.28326490883053945"/>
    <n v="0.76606286984625616"/>
    <n v="2.8505296263169253"/>
    <n v="794.04577485999994"/>
    <n v="110.69885464797245"/>
    <n v="849.77867212354715"/>
    <n v="23.893411927000002"/>
    <n v="3.3310086366462262"/>
    <n v="92.864327990999982"/>
    <n v="12.946325100803961"/>
    <n v="4773.2436065049997"/>
    <n v="1.524497703517246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452175714419412"/>
    <n v="-3.5618281112151933"/>
    <n v="-570.70541359599997"/>
    <n v="-6801.9506278489762"/>
    <n v="-0.18227418588614849"/>
    <n v="-2.2764857877213163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102.70887862978"/>
    <n v="7207.7045238095252"/>
    <n v="4261.0299709129995"/>
    <n v="1.3609048564842448"/>
    <n v="17567.486886573002"/>
    <n v="41394.628839571"/>
    <n v="1.5771958095236904E-2"/>
    <n v="3.9447794706896966E-2"/>
    <n v="5.1000832380441175E-2"/>
    <n v="3323.9881686999997"/>
    <n v="1.0616286842757725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217715802456"/>
    <n v="153.70041273300001"/>
    <n v="4.9089454793755871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61488749941696"/>
    <n v="18284.722149029003"/>
    <n v="44084.455875520005"/>
    <n v="3535.1628177450002"/>
    <n v="1.1290744913725292"/>
    <n v="41355.826507001009"/>
    <n v="13.737817499087457"/>
    <n v="2950.0368438270002"/>
    <n v="0.94219460904458163"/>
    <n v="37120.070865730006"/>
    <n v="12.339147133523479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87988232794769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75598149007517"/>
    <n v="-369.55582741610658"/>
    <n v="-0.90243527794604161"/>
    <n v="1100.9814150029993"/>
    <n v="0.35163586381802292"/>
    <n v="363.67095662999998"/>
    <n v="2762.2345538320001"/>
    <n v="8422.4469063949728"/>
    <n v="-0.18489778886437391"/>
    <n v="1.5841133837978472E-2"/>
    <n v="3.5024420468610096E-4"/>
    <n v="50.45586364267151"/>
    <n v="0.11615068995489666"/>
    <n v="0.8822135598011529"/>
    <n v="2.8143775450239974"/>
    <n v="219.65835102299999"/>
    <n v="30.475493313771807"/>
    <n v="836.56633832215175"/>
    <n v="0"/>
    <n v="0"/>
    <n v="144.01260560699998"/>
    <n v="19.980370328899699"/>
    <n v="4108.8454864579999"/>
    <n v="1.3122995649490661"/>
    <n v="152.18448445499928"/>
    <n v="-3479.4698162879999"/>
    <n v="-11112.273942343976"/>
    <n v="21.114140285895687"/>
    <n v="-1553.8752427743996"/>
    <n v="-0.74483260144202679"/>
    <n v="2.6201025607462256"/>
    <n v="0.19347390726383518"/>
    <n v="4.8605291535178521E-2"/>
    <n v="-3.7168128229700392"/>
    <n v="737.31045837299928"/>
    <n v="-6876.5183010729761"/>
    <n v="0.23548517386312623"/>
    <n v="-2.318142457406061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102.70887862978"/>
    <n v="7251.6616666666669"/>
    <n v="3561.1343769650002"/>
    <n v="1.1373693922097072"/>
    <n v="21128.621263538003"/>
    <n v="41952.915905579997"/>
    <n v="4.0943762824742214E-2"/>
    <n v="0.18591923204755356"/>
    <n v="6.2065289297391191E-2"/>
    <n v="2437.9879743860001"/>
    <n v="0.7786543856862812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3927272363605"/>
    <n v="142.31884875599999"/>
    <n v="4.5454365203581829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51190935570802"/>
    <n v="21557.018341964002"/>
    <n v="44381.575511882998"/>
    <n v="3101.5880139799992"/>
    <n v="0.99059763011577451"/>
    <n v="41678.058020304001"/>
    <n v="13.779656991132413"/>
    <n v="2850.1867379299993"/>
    <n v="0.9103040814108182"/>
    <n v="37298.717024691003"/>
    <n v="12.337497003639033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8.0293548704956252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225029865262685E-2"/>
    <n v="-333.75995523376588"/>
    <n v="-0.81963063817236148"/>
    <n v="540.23946008000075"/>
    <n v="0.1725438473575831"/>
    <n v="332.22961023699997"/>
    <n v="3094.4641640690002"/>
    <n v="8009.0863417629989"/>
    <n v="-0.55440720460756521"/>
    <n v="-0.10687234903353593"/>
    <n v="-6.4623147402826264E-2"/>
    <n v="45.814273404969022"/>
    <n v="0.10610882653391049"/>
    <n v="0.98832238633506342"/>
    <n v="2.665972513439931"/>
    <n v="223.802180569"/>
    <n v="30.86219281268178"/>
    <n v="788.64383952377477"/>
    <n v="0"/>
    <n v="0"/>
    <n v="108.42742966799997"/>
    <n v="14.952080592287235"/>
    <n v="3604.5258031719995"/>
    <n v="1.1512279200909907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58527881283623E-2"/>
    <n v="-3.4856031516122923"/>
    <n v="208.00984984300081"/>
    <n v="-6058.4049524530019"/>
    <n v="6.6435020823672628E-2"/>
    <n v="-2.0434431641189104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102.70887862978"/>
    <n v="7272.6780952380959"/>
    <n v="4099.5153899520001"/>
    <n v="1.3093196812746593"/>
    <n v="25228.136653490004"/>
    <n v="42420.270778136"/>
    <n v="5.425944354841139E-2"/>
    <n v="0.12867131568597645"/>
    <n v="6.1468024194655468E-2"/>
    <n v="2962.2021577759997"/>
    <n v="0.9460800158468954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185540627842"/>
    <n v="102.59623418500001"/>
    <n v="3.2767597109729929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831884995968012"/>
    <n v="25261.613585342002"/>
    <n v="44814.533296123991"/>
    <n v="3351.3208788680004"/>
    <n v="1.0703583149665743"/>
    <n v="42182.589218763991"/>
    <n v="13.878238250508883"/>
    <n v="3230.3642942770002"/>
    <n v="1.0317267154431453"/>
    <n v="37791.815184501007"/>
    <n v="12.43483350303445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63159952342899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613118167785814"/>
    <n v="-331.94831425324514"/>
    <n v="-0.81656721890716555"/>
    <n v="515.8767311649998"/>
    <n v="0.16476278120128712"/>
    <n v="602.87989839299996"/>
    <n v="3697.3440624620002"/>
    <n v="8005.1386765069992"/>
    <n v="-6.505415199437814E-3"/>
    <n v="-9.1913670558207872E-2"/>
    <n v="-5.8099252070342944E-2"/>
    <n v="82.896546567590477"/>
    <n v="0.19255020199352493"/>
    <n v="1.1808725883285882"/>
    <n v="2.6513767126527985"/>
    <n v="391.12075466499999"/>
    <n v="53.779467418074326"/>
    <n v="785.53494917084299"/>
    <n v="0"/>
    <n v="0"/>
    <n v="211.75914372799997"/>
    <n v="29.117079149516147"/>
    <n v="4307.4751417710004"/>
    <n v="1.3757387015903262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419020315666794E-2"/>
    <n v="-3.4679439315599638"/>
    <n v="-87.00316722800018"/>
    <n v="-6008.6271602320012"/>
    <n v="-2.7787420792237803E-2"/>
    <n v="-2.0245391840855382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102.70887862978"/>
    <n v="7273.1797727272724"/>
    <n v="3355.974272125"/>
    <n v="1.0718445343843703"/>
    <n v="28584.110925615005"/>
    <n v="42755.985863119997"/>
    <n v="6.0635607351396281E-2"/>
    <n v="0.1111543957595873"/>
    <n v="5.9997437459831549E-2"/>
    <n v="2441.3896434349999"/>
    <n v="0.77974082440192916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49514949797871E-2"/>
    <n v="48.431582518999996"/>
    <n v="1.5468273236107284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77378844357431"/>
    <n v="28761.281179673002"/>
    <n v="45136.734030143998"/>
    <n v="3310.0002473730001"/>
    <n v="1.0571611658128703"/>
    <n v="42463.071259370998"/>
    <n v="13.901246348011576"/>
    <n v="3027.6640860420002"/>
    <n v="0.96698750926988464"/>
    <n v="38050.740019097"/>
    <n v="12.456687166982359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9.0173656542985703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893350051372774E-2"/>
    <n v="-328.83659080227943"/>
    <n v="-0.80879632716340155"/>
    <n v="138.64283912499985"/>
    <n v="4.4280306491612936E-2"/>
    <n v="349.55572974400008"/>
    <n v="4046.8997922060003"/>
    <n v="7734.1455853179996"/>
    <n v="-0.4366990670960581"/>
    <n v="-0.13751264783373396"/>
    <n v="-0.10123416162081356"/>
    <n v="48.060922549275148"/>
    <n v="0.11164251213153856"/>
    <n v="1.2925151004601267"/>
    <n v="2.5511893484129446"/>
    <n v="201.623474558"/>
    <n v="27.721502954463052"/>
    <n v="755.67143774820249"/>
    <n v="53.157420969999997"/>
    <n v="7.3086906457788832"/>
    <n v="147.93225518600008"/>
    <n v="20.339419594812096"/>
    <n v="3849.2233240750002"/>
    <n v="1.2293803965672816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753586218291132"/>
    <n v="-3.3599856755763464"/>
    <n v="-210.91289061900022"/>
    <n v="-5702.5625120680006"/>
    <n v="-6.7362205639925621E-2"/>
    <n v="-1.9154264945471304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102.70887862978"/>
    <n v="7276.0522500000006"/>
    <n v="3923.9104503730005"/>
    <n v="1.2532342707689743"/>
    <n v="32508.021375988006"/>
    <n v="42837.768695979998"/>
    <n v="5.5725683712493534E-2"/>
    <n v="2.1285818952817115E-2"/>
    <n v="4.8333447793650341E-2"/>
    <n v="2996.6677465180005"/>
    <n v="0.95708777392903999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3173418976879E-2"/>
    <n v="176.13556780499999"/>
    <n v="5.6254884678521473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63277193404184"/>
    <n v="32914.049197536006"/>
    <n v="45610.022367291996"/>
    <n v="3915.3432003879998"/>
    <n v="1.2504980280786175"/>
    <n v="42846.438475480994"/>
    <n v="13.946072862652388"/>
    <n v="3003.2935539629998"/>
    <n v="0.95920395090774768"/>
    <n v="38153.122977266998"/>
    <n v="12.425639404983153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129407717086991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3093448571444022E-2"/>
    <n v="-383.61138317888106"/>
    <n v="-0.93741110005576056"/>
    <n v="683.19207893500072"/>
    <n v="0.21820062859942593"/>
    <n v="264.53358075799997"/>
    <n v="4311.4333729640002"/>
    <n v="7345.6488628299994"/>
    <n v="-0.59491377437909065"/>
    <n v="-0.19339441245673272"/>
    <n v="-0.13330271697874618"/>
    <n v="36.356745618202503"/>
    <n v="8.4487796897516787E-2"/>
    <n v="1.3770028973576436"/>
    <n v="2.4127594251617213"/>
    <n v="172.231686454"/>
    <n v="23.671034860146861"/>
    <n v="726.01906992001295"/>
    <n v="0"/>
    <n v="0"/>
    <n v="92.301894303999973"/>
    <n v="12.685710758055643"/>
    <n v="4417.3015986209994"/>
    <n v="1.410815516237935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75812454689608"/>
    <n v="-3.3501705252174823"/>
    <n v="418.65849817700075"/>
    <n v="-5424.5870359279998"/>
    <n v="0.13371283170190912"/>
    <n v="-1.829737067548248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102.70887862978"/>
    <n v="7384.8424999999988"/>
    <n v="3443.18931028"/>
    <n v="1.099699623363753"/>
    <n v="35951.210686268008"/>
    <n v="43214.131451597998"/>
    <n v="6.1793852709435049E-2"/>
    <n v="0.12272058719651957"/>
    <n v="5.4473320993257079E-2"/>
    <n v="2436.6934816090002"/>
    <n v="0.77824094538688671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465755525248"/>
    <n v="101.52181302599999"/>
    <n v="3.2424444167090741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64287230083486"/>
    <n v="36691.410209965004"/>
    <n v="45889.529166624998"/>
    <n v="3528.0669698510001"/>
    <n v="1.1268081909884113"/>
    <n v="43130.479172681"/>
    <n v="13.965503743265723"/>
    <n v="3041.7202679510001"/>
    <n v="0.9714768290714737"/>
    <n v="38347.440629046003"/>
    <n v="12.42512994737305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533136191693761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72909964459544"/>
    <n v="-368.80430546293633"/>
    <n v="-0.89700506299757754"/>
    <n v="152.17499975099963"/>
    <n v="4.860226227234217E-2"/>
    <n v="658.11103892300002"/>
    <n v="4969.544411887"/>
    <n v="6947.415507484"/>
    <n v="-0.37699197109062255"/>
    <n v="-0.22369078275874921"/>
    <n v="-0.20453201897785378"/>
    <n v="89.116462392122799"/>
    <n v="0.21019014536156835"/>
    <n v="1.5871930427192118"/>
    <n v="2.2623569871594498"/>
    <n v="508.53951208899997"/>
    <n v="68.862607711538871"/>
    <n v="684.50449492342761"/>
    <n v="56.376991611999998"/>
    <n v="7.634149490933626"/>
    <n v="149.57152683400005"/>
    <n v="20.25385468058392"/>
    <n v="4435.4720513520006"/>
    <n v="1.4166188683699168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691924500616375"/>
    <n v="-3.1593620501570272"/>
    <n v="-505.93603917200039"/>
    <n v="-4839.7746788759996"/>
    <n v="-0.16158788308922614"/>
    <n v="-1.6189882542643603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102.70887862978"/>
    <n v="7442.1713636363629"/>
    <n v="3941.2542054360001"/>
    <n v="1.258773588881269"/>
    <n v="39892.46489170401"/>
    <n v="43379.450107076009"/>
    <n v="5.9986726872555796E-2"/>
    <n v="4.3782170879436366E-2"/>
    <n v="5.2943647001154615E-2"/>
    <n v="2988.6901219080005"/>
    <n v="0.95453984815779014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412155998177E-2"/>
    <n v="200.22263622700001"/>
    <n v="6.394790928002278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81201928918588"/>
    <n v="40505.377531307007"/>
    <n v="46068.319555201"/>
    <n v="3580.1635301589999"/>
    <n v="1.1434469995425061"/>
    <n v="43346.922671589004"/>
    <n v="13.960714900064106"/>
    <n v="2920.9666830830001"/>
    <n v="0.93291006441444602"/>
    <n v="38331.609427564006"/>
    <n v="12.355537852682867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1053693512806021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65339598941034E-2"/>
    <n v="-371.30094295350278"/>
    <n v="-0.90440087679179015"/>
    <n v="786.48373116999994"/>
    <n v="0.25119033111747052"/>
    <n v="928.61867993700002"/>
    <n v="5898.1630918239998"/>
    <n v="7145.4887387320005"/>
    <n v="0.27113060741594119"/>
    <n v="-0.17300554041454019"/>
    <n v="-0.20428116209468516"/>
    <n v="124.77792227069362"/>
    <n v="0.29658596160436512"/>
    <n v="1.8837790043235769"/>
    <n v="2.309564742151796"/>
    <n v="764.22461120000003"/>
    <n v="102.68839211820941"/>
    <n v="721.45950465851183"/>
    <n v="39.385495341000002"/>
    <n v="5.2922048440652443"/>
    <n v="164.394068737"/>
    <n v="22.089530152484212"/>
    <n v="4742.5860012789999"/>
    <n v="1.5147061544962239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593256561495475"/>
    <n v="-3.2139656189435861"/>
    <n v="-142.13494876700008"/>
    <n v="-4819.0449428320007"/>
    <n v="-4.5395630486894593E-2"/>
    <n v="-1.6087885715623433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102.70887862978"/>
    <n v="7335.2122222222233"/>
    <n v="4049.554153309"/>
    <n v="1.2933628609641821"/>
    <n v="43942.01904501301"/>
    <n v="43942.01904501301"/>
    <n v="6.8580602035307026E-2"/>
    <n v="0.16133390398587744"/>
    <n v="6.8580602035307026E-2"/>
    <n v="2495.1373023790002"/>
    <n v="0.79690696746613199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47909070117331E-2"/>
    <n v="340.06244851899999"/>
    <n v="0.10861050986653098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551539141528785"/>
    <n v="48505.63365253801"/>
    <n v="48505.63365253801"/>
    <n v="7401.6400526560001"/>
    <n v="2.3639655112422391"/>
    <n v="45451.578594148006"/>
    <n v="14.516507620432858"/>
    <n v="7046.4681989370001"/>
    <n v="2.250529298891653"/>
    <n v="40234.275998915"/>
    <n v="12.850184574580382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43621235058612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617910531886962"/>
    <n v="-623.10766912893587"/>
    <n v="-1.4575455523427063"/>
    <n v="-3595.5301142030003"/>
    <n v="-1.1483548408381101"/>
    <n v="2366.272428498"/>
    <n v="8264.4355203220002"/>
    <n v="8264.4355203220002"/>
    <n v="0.89707670516016469"/>
    <n v="-1.371663705089099E-2"/>
    <n v="-1.371663705089099E-2"/>
    <n v="322.59086128814567"/>
    <n v="0.75574958676427639"/>
    <n v="2.6395285910878532"/>
    <n v="2.6395285910878536"/>
    <n v="2063.108162004"/>
    <n v="281.26086873857014"/>
    <n v="911.27727487611219"/>
    <n v="109.6873103775232"/>
    <n v="14.953529230582115"/>
    <n v="303.164266494"/>
    <n v="41.32999254957555"/>
    <n v="10366.528549729001"/>
    <n v="3.3109035009171546"/>
    <n v="-6316.9743964200006"/>
    <n v="-12828.050127847"/>
    <n v="-12828.050127847"/>
    <n v="-861.18495348812905"/>
    <n v="-1754.8422311483414"/>
    <n v="0.90082380331485945"/>
    <n v="0.49268270950274329"/>
    <n v="0.49268270950274329"/>
    <n v="-2.0175406399529727"/>
    <n v="-4.09707414343056"/>
    <n v="-5961.8025427010007"/>
    <n v="-7610.7475326140002"/>
    <n v="-1.9041044276023866"/>
    <n v="-2.4307510975780819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4026.25081226527"/>
    <n v="7282.9988636363632"/>
    <n v="3804.6259361790007"/>
    <n v="1.1390200401696384"/>
    <n v="3804.6259361790007"/>
    <n v="44586.405242480003"/>
    <n v="0.20390421320682117"/>
    <n v="0.20390421320682117"/>
    <n v="7.8861594513988775E-2"/>
    <n v="2901.7446344780005"/>
    <n v="0.86871754163683534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106107541204948E-2"/>
    <n v="81.670096715"/>
    <n v="2.4450203095235625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3892816560395422"/>
    <n v="2802.2402985750005"/>
    <n v="48207.723730370009"/>
    <n v="2674.2446948890006"/>
    <n v="0.80060914026545238"/>
    <n v="45153.066526154005"/>
    <n v="14.367665772704671"/>
    <n v="2611.5491690860008"/>
    <n v="0.78183949996007507"/>
    <n v="40167.230234141003"/>
    <n v="12.776523672307167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769640305377415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30009187456568404"/>
    <n v="-493.62378270876468"/>
    <n v="-1.1766453092337446"/>
    <n v="1065.0811634070003"/>
    <n v="0.31886151487106146"/>
    <n v="37.041825209999999"/>
    <n v="37.041825209999999"/>
    <n v="7941.1911932939993"/>
    <n v="-0.89718776317128424"/>
    <n v="-0.89718776317128424"/>
    <n v="-7.5449712795768842E-2"/>
    <n v="5.0860676904603013"/>
    <n v="1.1089495247730945E-2"/>
    <n v="1.1089495247730945E-2"/>
    <n v="2.5355484487944859"/>
    <n v="0"/>
    <n v="0"/>
    <n v="867.89565939354156"/>
    <n v="0"/>
    <n v="0"/>
    <n v="37.041825209999999"/>
    <n v="5.0860676904603013"/>
    <n v="2839.2821237850003"/>
    <n v="0.85001766085168518"/>
    <n v="965.34381239400034"/>
    <n v="965.34381239400034"/>
    <n v="-11562.509681184001"/>
    <n v="132.54757147003167"/>
    <n v="-1581.5799322938935"/>
    <n v="-4.2157049819851657"/>
    <n v="-4.2157049819851657"/>
    <n v="0.2525605679687164"/>
    <n v="0.28900237931795314"/>
    <n v="-3.7121937580282305"/>
    <n v="1028.0393381970002"/>
    <n v="-6576.673389171001"/>
    <n v="0.30777201962333051"/>
    <n v="-2.1210516576307263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4026.25081226527"/>
    <n v="7285.0480952380958"/>
    <n v="3209.7257207530001"/>
    <n v="0.96092020101647069"/>
    <n v="7014.3516569320009"/>
    <n v="45070.762042180999"/>
    <n v="0.19178016453667168"/>
    <n v="0.17772155393701228"/>
    <n v="9.8386785163536716E-2"/>
    <n v="2370.0602069780002"/>
    <n v="0.70954309765014822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100862145265382E-2"/>
    <n v="101.03874689"/>
    <n v="3.0248744415835572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38040374736744"/>
    <n v="6603.5938950380005"/>
    <n v="48789.910861641001"/>
    <n v="3609.0172354829997"/>
    <n v="1.0804591635258622"/>
    <n v="45692.844126209995"/>
    <n v="14.467858861107961"/>
    <n v="3084.7871149109997"/>
    <n v="0.9235163725634129"/>
    <n v="40223.281546456994"/>
    <n v="12.732710246465977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694279096244929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712017372027311"/>
    <n v="-507.11785938269333"/>
    <n v="-1.1960544411337395"/>
    <n v="-67.397755137999411"/>
    <n v="-2.0177382757823836E-2"/>
    <n v="184.82380115500004"/>
    <n v="221.86562636500003"/>
    <n v="7590.5398619670004"/>
    <n v="-0.65484148573190204"/>
    <n v="-0.75231612467561426"/>
    <n v="-9.8552988178392309E-2"/>
    <n v="25.370292514034457"/>
    <n v="5.5332118570189152E-2"/>
    <n v="6.6421613817920097E-2"/>
    <n v="2.4198583700800231"/>
    <n v="127.433595526"/>
    <n v="17.492485136686682"/>
    <n v="818.99254791984254"/>
    <n v="64.556258688"/>
    <n v="8.8614732317549816"/>
    <n v="57.390205629000036"/>
    <n v="7.8778073773477759"/>
    <n v="3986.1773976179998"/>
    <n v="1.193372493306933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245229229046227"/>
    <n v="-3.6159128112137626"/>
    <n v="-252.22155629299948"/>
    <n v="-5840.1261016740009"/>
    <n v="-7.5509501328012998E-2"/>
    <n v="-1.8807641965717792"/>
    <n v="1917.7402023060001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4026.25081226527"/>
    <n v="7317.5874999999996"/>
    <n v="3438.5597139500001"/>
    <n v="1.0294279882459278"/>
    <n v="10452.911370882"/>
    <n v="44845.630694220999"/>
    <n v="9.462595955147135E-2"/>
    <n v="-6.1449326418541395E-2"/>
    <n v="8.239411996868351E-2"/>
    <n v="2680.8021049700001"/>
    <n v="0.80257228240324963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7964489120157923E-2"/>
    <n v="75.467958120999995"/>
    <n v="2.2593421306703138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38304722991946"/>
    <n v="11741.935487316001"/>
    <n v="49594.355024306999"/>
    <n v="4934.9658988189994"/>
    <n v="1.4774185821678509"/>
    <n v="46635.254238163994"/>
    <n v="14.67011894938598"/>
    <n v="4011.0284479069996"/>
    <n v="1.2008123427883941"/>
    <n v="41026.425096944004"/>
    <n v="12.908975433814877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660623937945705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887673474601791"/>
    <n v="-646.12271358222824"/>
    <n v="-1.4908779758603998"/>
    <n v="-775.84442741599946"/>
    <n v="-0.23227049536656083"/>
    <n v="468.93283557800009"/>
    <n v="690.79846194300012"/>
    <n v="7443.5804879140005"/>
    <n v="-0.23861216582208078"/>
    <n v="-0.54301798360239861"/>
    <n v="-9.8138878342289293E-2"/>
    <n v="64.082983029311251"/>
    <n v="0.14038801873735282"/>
    <n v="0.2068096325552729"/>
    <n v="2.3635402626274096"/>
    <n v="387.29189993599999"/>
    <n v="52.926172722362395"/>
    <n v="800.43907243447779"/>
    <n v="0"/>
    <n v="0"/>
    <n v="81.640935642000102"/>
    <n v="11.156810306948854"/>
    <n v="5607.2744278559994"/>
    <n v="1.6786927417292985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926475348337076"/>
    <n v="-3.8544182384878094"/>
    <n v="-1244.7772629939998"/>
    <n v="-6583.47567678"/>
    <n v="-0.37265851410391371"/>
    <n v="-2.0932747229167075"/>
    <n v="1809.4049647240001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4026.25081226527"/>
    <n v="7405.4070454545454"/>
    <n v="5280.9667066130005"/>
    <n v="1.5810034971116966"/>
    <n v="15733.878077495001"/>
    <n v="46369.440206847998"/>
    <n v="0.18242430552480382"/>
    <n v="0.40557512873460011"/>
    <n v="0.12457329176430854"/>
    <n v="4063.1005273820001"/>
    <n v="1.2164015605065748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417787795768203E-2"/>
    <n v="321.20730355900002"/>
    <n v="9.6162293465830037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4622796674322"/>
    <n v="15899.302351802002"/>
    <n v="49865.388385138998"/>
    <n v="3906.993386860001"/>
    <n v="1.1696665688278107"/>
    <n v="46848.506927070994"/>
    <n v="14.660063786906502"/>
    <n v="3433.9365634220012"/>
    <n v="1.0280439202223051"/>
    <n v="41212.001961335991"/>
    <n v="12.899545193987937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162264860550583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638070043737461"/>
    <n v="-476.3871400632197"/>
    <n v="-1.1132404271093705"/>
    <n v="1596.6566655649997"/>
    <n v="0.47800334904288044"/>
    <n v="612.93987192400004"/>
    <n v="1303.7383338670002"/>
    <n v="7169.610256986999"/>
    <n v="-0.30890417196321718"/>
    <n v="-0.4564503791403105"/>
    <n v="-0.15700656939628643"/>
    <n v="82.769234447446593"/>
    <n v="0.1835005094460358"/>
    <n v="0.3903101420013087"/>
    <n v="2.2637758632429064"/>
    <n v="482.82380087799999"/>
    <n v="65.19881998577759"/>
    <n v="754.93903777228297"/>
    <n v="0"/>
    <n v="0"/>
    <n v="130.11607104600006"/>
    <n v="17.570414461669003"/>
    <n v="4770.3067364100007"/>
    <n v="1.4281233061203575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288019099133884"/>
    <n v="-3.3770162903522767"/>
    <n v="983.71679364099964"/>
    <n v="-5029.0534695429997"/>
    <n v="0.29450283959684465"/>
    <n v="-1.6164976974337146"/>
    <n v="1811.6414167939997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4026.25081226527"/>
    <n v="7511.5984210526312"/>
    <n v="5399.7407134360001"/>
    <n v="1.6165617822866407"/>
    <n v="21133.618790931003"/>
    <n v="47508.150949371004"/>
    <n v="0.20299613299177288"/>
    <n v="0.26723837905299042"/>
    <n v="0.14768877705108951"/>
    <n v="4387.4784807799997"/>
    <n v="1.313513075727069"/>
    <n v="16403.185954588"/>
    <n v="35161.954382599004"/>
    <n v="0.3199440726336662"/>
    <n v="0.26267479209251432"/>
    <n v="0.16585841488606468"/>
    <m/>
    <n v="18236.504248962003"/>
    <n v="5.3803242642271876E-3"/>
    <n v="-1"/>
    <m/>
    <n v="12565.124017835999"/>
    <n v="4.7337989500381816E-2"/>
    <n v="-1"/>
    <m/>
    <m/>
    <n v="-1"/>
    <n v="-1"/>
    <n v="259.91833523700001"/>
    <n v="7.7813745058942521E-2"/>
    <n v="154.33945625199999"/>
    <n v="4.6205786484351585E-2"/>
    <n v="598.0044411670001"/>
    <n v="79.610810861638058"/>
    <n v="275.70411203200001"/>
    <n v="36.703787473420931"/>
    <n v="202.10199112107597"/>
    <n v="0"/>
    <n v="0"/>
    <n v="0"/>
    <n v="322.30032913500008"/>
    <n v="275.70411203200001"/>
    <n v="4256.0327050629994"/>
    <n v="1.2741611459319233"/>
    <n v="20155.335056865002"/>
    <n v="50376.246560373991"/>
    <n v="4018.3227295779993"/>
    <n v="1.2029960878243791"/>
    <n v="47331.666838903999"/>
    <n v="14.73398538335835"/>
    <n v="3325.7830593289991"/>
    <n v="0.99566517638705243"/>
    <n v="41587.748176837995"/>
    <n v="12.953015761330407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196045559095737"/>
    <n v="0.20733091143732654"/>
    <n v="5743.9186620659993"/>
    <n v="412.23324842499994"/>
    <n v="740.19488153200007"/>
    <n v="270.08122899700004"/>
    <n v="1143.7080083730007"/>
    <n v="978.28373406600167"/>
    <n v="-2868.0956110029974"/>
    <n v="1.2171095180607931"/>
    <n v="-2.3639649153836961"/>
    <n v="6.6275107161713143E-2"/>
    <n v="152.25893934472714"/>
    <n v="0.3424006363547174"/>
    <n v="-395.69820464705987"/>
    <n v="-0.9355957722447279"/>
    <n v="1836.2476786220006"/>
    <n v="0.54973154779204392"/>
    <n v="508.08560216199999"/>
    <n v="1811.8239360290002"/>
    <n v="7314.0249025189996"/>
    <n v="0.39710249856143442"/>
    <n v="-0.34407310432219151"/>
    <n v="-0.13160332338033187"/>
    <n v="67.64014443823261"/>
    <n v="0.15210948269079677"/>
    <n v="0.54241962469210547"/>
    <n v="2.2997346559788063"/>
    <n v="358.75900957499999"/>
    <n v="47.760674821155519"/>
    <n v="772.22421927966661"/>
    <n v="0"/>
    <n v="0"/>
    <n v="149.32659258699999"/>
    <n v="19.879469617077085"/>
    <n v="4764.1183072249996"/>
    <n v="1.4262706286227202"/>
    <n v="635.62240621100068"/>
    <n v="-833.54020196299871"/>
    <n v="-10182.120513521997"/>
    <n v="84.618794906494514"/>
    <n v="-1390.2606608575443"/>
    <n v="3.1766570914721157"/>
    <n v="-0.76044045616919775"/>
    <n v="-8.3705048457955566E-2"/>
    <n v="0.19029115366392066"/>
    <n v="-3.2353304282235347"/>
    <n v="1328.1620764600007"/>
    <n v="-4438.2018514559986"/>
    <n v="0.3976220651012472"/>
    <n v="-1.4543608061955937"/>
    <n v="1805.7013968469998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6" baseField="3" baseItem="15" numFmtId="168"/>
    <dataField name="RON (% del PIB) " fld="84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22" firstHeaderRow="1" firstDataRow="1" firstDataCol="3"/>
  <pivotFields count="142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20">
    <i>
      <x v="18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59" firstHeaderRow="1" firstDataRow="1" firstDataCol="2" rowPageCount="1" colPageCount="1"/>
  <pivotFields count="142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1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9" baseField="3" baseItem="15" numFmtId="168"/>
    <dataField name="Inversión (USD) " fld="95" baseField="3" baseItem="15" numFmtId="3"/>
    <dataField name="Inversión_x000a_(% del PIB) " fld="96" baseField="3" baseItem="15" numFmtId="168"/>
    <dataField name="MOPC (USD) " fld="100" baseField="3" baseItem="15" numFmtId="3"/>
    <dataField name="Otras Ent. (USD) " fld="105" baseField="3" baseItem="15" numFmtId="3"/>
  </dataFields>
  <formats count="4"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>
            <x v="4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74" firstHeaderRow="0" firstDataRow="1" firstDataCol="2" rowPageCount="1" colPageCount="1"/>
  <pivotFields count="14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4" baseField="1" baseItem="0" numFmtId="168"/>
    <dataField name="ANANF (% del PIB) " fld="96" baseField="1" baseItem="0" numFmtId="168"/>
    <dataField name="Resultado Fiscal (% del PIB) " fld="11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61" baseField="3" baseItem="17" numFmtId="168"/>
    <dataField name="Uso de ByS " fld="69" baseField="3" baseItem="17" numFmtId="168"/>
    <dataField name="Intereses " fld="70" baseField="3" baseItem="15" numFmtId="168"/>
    <dataField name="Donaciones " fld="74" baseField="3" baseItem="17" numFmtId="168"/>
    <dataField name="P. Sociales " fld="75" baseField="3" baseItem="17" numFmtId="168"/>
    <dataField name="Otros Gastos " fld="7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73" firstHeaderRow="0" firstDataRow="1" firstDataCol="2" rowPageCount="1" colPageCount="1"/>
  <pivotFields count="142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5" baseField="1" baseItem="6" numFmtId="168"/>
    <dataField name="Resultado Fiscal anualizado (millones de US$) " fld="112" baseField="1" baseItem="5" numFmtId="168"/>
  </dataFields>
  <formats count="3"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73" firstHeaderRow="0" firstDataRow="1" firstDataCol="2" rowPageCount="1" colPageCount="1"/>
  <pivotFields count="14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6" baseField="1" baseItem="3" numFmtId="168"/>
    <dataField name="Inversión anualizada (% PIB) " fld="98" baseField="1" baseItem="3" numFmtId="168"/>
    <dataField name="Resultado anualizado (% PIB) " fld="117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C159" firstHeaderRow="1" firstDataRow="1" firstDataCol="2" rowPageCount="1" colPageCount="1"/>
  <pivotFields count="142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0">
    <i>
      <x v="18"/>
      <x v="7"/>
    </i>
    <i r="1">
      <x v="8"/>
    </i>
    <i r="1">
      <x v="9"/>
    </i>
    <i r="1">
      <x v="10"/>
    </i>
    <i r="1">
      <x v="11"/>
    </i>
    <i>
      <x v="19"/>
      <x v="7"/>
    </i>
    <i r="1">
      <x v="8"/>
    </i>
    <i r="1">
      <x v="9"/>
    </i>
    <i r="1">
      <x v="10"/>
    </i>
    <i r="1">
      <x v="11"/>
    </i>
    <i>
      <x v="20"/>
      <x v="7"/>
    </i>
    <i r="1">
      <x v="8"/>
    </i>
    <i r="1">
      <x v="9"/>
    </i>
    <i r="1">
      <x v="10"/>
    </i>
    <i r="1">
      <x v="11"/>
    </i>
    <i>
      <x v="21"/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101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1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1" baseField="3" baseItem="15" numFmtId="168"/>
    <dataField name="RON (millones de US$) " fld="83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BA13EC46-CF51-4133-A484-AE5FA59F5AD5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0962BDA9-2EAD-4B0E-8069-415F3C2D79D8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VN69"/>
  <sheetViews>
    <sheetView showGridLines="0" showRowColHeaders="0" tabSelected="1" zoomScale="85" zoomScaleNormal="85" workbookViewId="0">
      <selection activeCell="M6" sqref="M6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0" t="s">
        <v>188</v>
      </c>
      <c r="C6" s="230"/>
      <c r="D6" s="230"/>
      <c r="E6" s="230"/>
      <c r="F6" s="230"/>
      <c r="G6" s="230"/>
      <c r="H6" s="230"/>
      <c r="I6" s="230"/>
      <c r="J6" s="230"/>
    </row>
    <row r="7" spans="2:12" x14ac:dyDescent="0.2">
      <c r="B7" s="231" t="str">
        <f>Aux!$V$5</f>
        <v>Mayo 2024</v>
      </c>
      <c r="C7" s="231"/>
      <c r="D7" s="231"/>
      <c r="E7" s="231"/>
      <c r="F7" s="231"/>
      <c r="G7" s="231"/>
      <c r="H7" s="231"/>
      <c r="I7" s="231"/>
      <c r="J7" s="231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75" t="str">
        <f>+Aux!R6</f>
        <v>may-23</v>
      </c>
      <c r="H10" s="75" t="str">
        <f>+Aux!R5</f>
        <v>may-24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17567.486886573002</v>
      </c>
      <c r="H11" s="77">
        <f>'CA Informe'!T13</f>
        <v>21133.618790931003</v>
      </c>
      <c r="I11" s="78">
        <f>+H11/G11-1</f>
        <v>0.20299613299177288</v>
      </c>
    </row>
    <row r="12" spans="2:12" x14ac:dyDescent="0.2">
      <c r="F12" s="79" t="str">
        <f>+'1'!A12</f>
        <v xml:space="preserve">Ingresos Tributarios </v>
      </c>
      <c r="G12" s="80">
        <f>'CA Informe'!U14</f>
        <v>12990.823969333002</v>
      </c>
      <c r="H12" s="80">
        <f>'CA Informe'!T14</f>
        <v>16403.185954588</v>
      </c>
      <c r="I12" s="81">
        <f>+H12/G12-1</f>
        <v>0.26267479209251432</v>
      </c>
    </row>
    <row r="13" spans="2:12" x14ac:dyDescent="0.2">
      <c r="F13" s="79" t="str">
        <f>+'1'!A14</f>
        <v>Contribuciones sociales</v>
      </c>
      <c r="G13" s="80">
        <f>'CA Informe'!U17</f>
        <v>1537.194186214</v>
      </c>
      <c r="H13" s="80">
        <f>'CA Informe'!T17</f>
        <v>1357.1845681079999</v>
      </c>
      <c r="I13" s="81">
        <f>+H13/G13-1</f>
        <v>-0.1171027185246849</v>
      </c>
    </row>
    <row r="14" spans="2:12" x14ac:dyDescent="0.2">
      <c r="F14" s="82" t="str">
        <f>+'1'!A16</f>
        <v>Donaciones</v>
      </c>
      <c r="G14" s="83">
        <f>'CA Informe'!U18</f>
        <v>698.84427814000003</v>
      </c>
      <c r="H14" s="83">
        <f>'CA Informe'!T18</f>
        <v>733.72356153700002</v>
      </c>
      <c r="I14" s="84">
        <f>+H14/G14-1</f>
        <v>4.9909950597052166E-2</v>
      </c>
    </row>
    <row r="15" spans="2:12" x14ac:dyDescent="0.2">
      <c r="F15" s="85" t="str">
        <f>+'1'!A26</f>
        <v>Otros ingresos</v>
      </c>
      <c r="G15" s="86">
        <f>'CA Informe'!U19</f>
        <v>2340.6244528859997</v>
      </c>
      <c r="H15" s="221">
        <f>'CA Informe'!T19</f>
        <v>2639.524706698</v>
      </c>
      <c r="I15" s="87">
        <f>+H15/G15-1</f>
        <v>0.1277010728668817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5" t="str">
        <f>+Aux!R6</f>
        <v>may-23</v>
      </c>
      <c r="D31" s="75" t="str">
        <f>+Aux!R5</f>
        <v>may-24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18284.722149028999</v>
      </c>
      <c r="D32" s="90">
        <f>'CA Informe'!T20</f>
        <v>20155.335056865002</v>
      </c>
      <c r="E32" s="91">
        <f>+D32/C32-1</f>
        <v>0.10230469419166655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7704.0039294879998</v>
      </c>
      <c r="D33" s="94">
        <f>'CA Informe'!T21</f>
        <v>8305.1159375759999</v>
      </c>
      <c r="E33" s="95">
        <f t="shared" ref="E33:E38" si="0">+D33/C33-1</f>
        <v>7.8025921792066022E-2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2239.3597692210001</v>
      </c>
      <c r="D34" s="83">
        <f>'CA Informe'!T22</f>
        <v>2727.2510721969998</v>
      </c>
      <c r="E34" s="84">
        <f t="shared" si="0"/>
        <v>0.21787088867177484</v>
      </c>
      <c r="F34" s="84"/>
    </row>
    <row r="35" spans="2:15" x14ac:dyDescent="0.2">
      <c r="B35" s="83" t="str">
        <f>+'1'!A42</f>
        <v>Intereses</v>
      </c>
      <c r="C35" s="83">
        <f>'CA Informe'!U23</f>
        <v>2149.8435241410002</v>
      </c>
      <c r="D35" s="83">
        <f>'CA Informe'!T23</f>
        <v>2676.4595909740001</v>
      </c>
      <c r="E35" s="84">
        <f t="shared" si="0"/>
        <v>0.24495553323743247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1991.2195797000002</v>
      </c>
      <c r="D36" s="83">
        <f>'CA Informe'!T24</f>
        <v>2038.6777957369998</v>
      </c>
      <c r="E36" s="84">
        <f t="shared" si="0"/>
        <v>2.3833743159631604E-2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3544.6012880999997</v>
      </c>
      <c r="D37" s="83">
        <f>'CA Informe'!T25</f>
        <v>3683.6938850439997</v>
      </c>
      <c r="E37" s="84">
        <f t="shared" si="0"/>
        <v>3.9240689047584709E-2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655.69405837900001</v>
      </c>
      <c r="D38" s="96">
        <f>'CA Informe'!T26</f>
        <v>724.13677533700013</v>
      </c>
      <c r="E38" s="97">
        <f t="shared" si="0"/>
        <v>0.104382091134398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1.8554687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102"/>
    </row>
    <row r="3" spans="1:248" ht="15.75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6" t="s">
        <v>141</v>
      </c>
      <c r="B8" s="232" t="s">
        <v>189</v>
      </c>
      <c r="C8" s="232" t="s">
        <v>207</v>
      </c>
      <c r="D8" s="232" t="s">
        <v>142</v>
      </c>
      <c r="E8" s="238" t="s">
        <v>201</v>
      </c>
      <c r="F8" s="238" t="s">
        <v>208</v>
      </c>
      <c r="G8" s="232" t="s">
        <v>142</v>
      </c>
      <c r="H8" s="232" t="s">
        <v>143</v>
      </c>
      <c r="I8" s="111"/>
    </row>
    <row r="9" spans="1:248" s="3" customFormat="1" ht="23.25" customHeight="1" thickBot="1" x14ac:dyDescent="0.25">
      <c r="A9" s="237"/>
      <c r="B9" s="233"/>
      <c r="C9" s="233"/>
      <c r="D9" s="233"/>
      <c r="E9" s="239"/>
      <c r="F9" s="239"/>
      <c r="G9" s="233"/>
      <c r="H9" s="233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mensual'!IH2:IL2))</f>
        <v>17567.486886573002</v>
      </c>
      <c r="D10" s="113">
        <f>IFERROR((C10/B10*100),0)</f>
        <v>35.790522382447811</v>
      </c>
      <c r="E10" s="113">
        <v>53272.996249411</v>
      </c>
      <c r="F10" s="113">
        <f>IF($A10="","",'2'!N10)</f>
        <v>21133.618790931003</v>
      </c>
      <c r="G10" s="113">
        <f>IFERROR((F10/E10*100),0)</f>
        <v>39.670415179932107</v>
      </c>
      <c r="H10" s="113">
        <f>IF(C10&lt;&gt;0,F10/C10*100-100," ")</f>
        <v>20.299613299177281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mensual'!IH4:IL4))</f>
        <v>12990.823969333002</v>
      </c>
      <c r="D12" s="115">
        <f>IFERROR((C12/B12*100),0)</f>
        <v>40.123678022566764</v>
      </c>
      <c r="E12" s="115">
        <v>34466.526446335003</v>
      </c>
      <c r="F12" s="115">
        <f>IF($A12="","",'2'!N12)</f>
        <v>16403.185954588</v>
      </c>
      <c r="G12" s="115">
        <f>IFERROR((F12/E12*100),0)</f>
        <v>47.591642227504572</v>
      </c>
      <c r="H12" s="115">
        <f>IF(C12&lt;&gt;0,F12/C12*100-100," ")</f>
        <v>26.267479209251434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2"/>
      <c r="F13" s="202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mensual'!IH13:IL13))</f>
        <v>1537.194186214</v>
      </c>
      <c r="D14" s="115">
        <f>IFERROR((C14/B14*100),0)</f>
        <v>41.791846896668801</v>
      </c>
      <c r="E14" s="203">
        <v>4210.0829034540002</v>
      </c>
      <c r="F14" s="203">
        <f>IF($A14="","",'2'!N14)</f>
        <v>1357.1845681080001</v>
      </c>
      <c r="G14" s="115">
        <f>IFERROR((F14/E14*100),0)</f>
        <v>32.236528335215212</v>
      </c>
      <c r="H14" s="115">
        <f>IF(C14&lt;&gt;0,F14/C14*100-100," ")</f>
        <v>-11.710271852468466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mensual'!IH14:IL14))</f>
        <v/>
      </c>
      <c r="D15" s="117"/>
      <c r="E15" s="202"/>
      <c r="F15" s="202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mensual'!IH15:IL15))</f>
        <v>698.84427814000003</v>
      </c>
      <c r="D16" s="115">
        <f t="shared" ref="D16:D33" si="0">IFERROR((C16/B16*100),0)</f>
        <v>28.371563138544637</v>
      </c>
      <c r="E16" s="203">
        <v>2291.1088430740001</v>
      </c>
      <c r="F16" s="203">
        <f>IF($A16="","",'2'!N16)</f>
        <v>733.72356153700002</v>
      </c>
      <c r="G16" s="115">
        <f t="shared" ref="G16:G33" si="1">IFERROR((F16/E16*100),0)</f>
        <v>32.024823427967611</v>
      </c>
      <c r="H16" s="115">
        <f t="shared" ref="H16:H33" si="2">IF(C16&lt;&gt;0,F16/C16*100-100," ")</f>
        <v>4.9909950597052131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mensual'!IH16:IL16))</f>
        <v>66.410693085999995</v>
      </c>
      <c r="D17" s="117">
        <f t="shared" si="0"/>
        <v>7.3665284079771522</v>
      </c>
      <c r="E17" s="202">
        <v>640.58764093399998</v>
      </c>
      <c r="F17" s="202">
        <f>IF($A17="","",'2'!N17)</f>
        <v>26.944195075</v>
      </c>
      <c r="G17" s="117">
        <f t="shared" si="1"/>
        <v>4.2061684230614231</v>
      </c>
      <c r="H17" s="117">
        <f t="shared" si="2"/>
        <v>-59.427926704351634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mensual'!IH17:IL17))</f>
        <v>0</v>
      </c>
      <c r="D18" s="117">
        <f t="shared" si="0"/>
        <v>0</v>
      </c>
      <c r="E18" s="202">
        <v>48.695407611</v>
      </c>
      <c r="F18" s="202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mensual'!IH18:IL18))</f>
        <v>66.410693085999995</v>
      </c>
      <c r="D19" s="117">
        <f t="shared" si="0"/>
        <v>8.72567967267792</v>
      </c>
      <c r="E19" s="202">
        <v>591.89223332300003</v>
      </c>
      <c r="F19" s="202">
        <f>IF($A19="","",'2'!N19)</f>
        <v>26.944195075</v>
      </c>
      <c r="G19" s="117">
        <f t="shared" si="1"/>
        <v>4.5522129803477842</v>
      </c>
      <c r="H19" s="117">
        <f t="shared" si="2"/>
        <v>-59.427926704351634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mensual'!IH19:IL19))</f>
        <v>66.590111535999995</v>
      </c>
      <c r="D20" s="117">
        <f t="shared" si="0"/>
        <v>325.44895917110603</v>
      </c>
      <c r="E20" s="202">
        <v>20.8843</v>
      </c>
      <c r="F20" s="202">
        <f>IF($A20="","",'2'!N20)</f>
        <v>152.51454167499998</v>
      </c>
      <c r="G20" s="117">
        <f t="shared" si="1"/>
        <v>730.28323513356918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mensual'!IH20:IL20))</f>
        <v>0</v>
      </c>
      <c r="D21" s="117">
        <f t="shared" si="0"/>
        <v>0</v>
      </c>
      <c r="E21" s="202">
        <v>0</v>
      </c>
      <c r="F21" s="202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mensual'!IH21:IL21))</f>
        <v>66.590111535999995</v>
      </c>
      <c r="D22" s="117">
        <f t="shared" si="0"/>
        <v>325.44895917110603</v>
      </c>
      <c r="E22" s="202">
        <v>20.8843</v>
      </c>
      <c r="F22" s="202">
        <f>IF($A22="","",'2'!N22)</f>
        <v>152.51454167499998</v>
      </c>
      <c r="G22" s="117">
        <f t="shared" si="1"/>
        <v>730.28323513356918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mensual'!IH22:IL22))</f>
        <v>565.84347351799988</v>
      </c>
      <c r="D23" s="117">
        <f t="shared" si="0"/>
        <v>36.714351783860707</v>
      </c>
      <c r="E23" s="202">
        <v>1629.6369021399998</v>
      </c>
      <c r="F23" s="202">
        <f>IF($A23="","",'2'!N23)</f>
        <v>554.26482478699995</v>
      </c>
      <c r="G23" s="117">
        <f t="shared" si="1"/>
        <v>34.011553374813296</v>
      </c>
      <c r="H23" s="117">
        <f t="shared" si="2"/>
        <v>-2.0462635468802688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mensual'!IH23:IL23))</f>
        <v>565.84347351799988</v>
      </c>
      <c r="D24" s="117">
        <f t="shared" si="0"/>
        <v>36.714351783860707</v>
      </c>
      <c r="E24" s="202">
        <v>1629.6369021399998</v>
      </c>
      <c r="F24" s="202">
        <f>IF($A24="","",'2'!N24)</f>
        <v>554.26482478699995</v>
      </c>
      <c r="G24" s="117">
        <f t="shared" si="1"/>
        <v>34.011553374813296</v>
      </c>
      <c r="H24" s="117">
        <f t="shared" si="2"/>
        <v>-2.0462635468802688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mensual'!IH24:IL24))</f>
        <v>0</v>
      </c>
      <c r="D25" s="117">
        <f t="shared" si="0"/>
        <v>0</v>
      </c>
      <c r="E25" s="202">
        <v>0</v>
      </c>
      <c r="F25" s="202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mensual'!IH25:IL25))</f>
        <v>2340.6244528859997</v>
      </c>
      <c r="D26" s="115">
        <f t="shared" si="0"/>
        <v>22.152766321081145</v>
      </c>
      <c r="E26" s="203">
        <v>12305.278056547999</v>
      </c>
      <c r="F26" s="203">
        <f>IF($A26="","",'2'!N26)</f>
        <v>2639.524706698</v>
      </c>
      <c r="G26" s="115">
        <f t="shared" si="1"/>
        <v>21.450345896844091</v>
      </c>
      <c r="H26" s="115">
        <f t="shared" si="2"/>
        <v>12.770107286688173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mensual'!IH26:IL26))</f>
        <v>1229.7119677180001</v>
      </c>
      <c r="D27" s="117">
        <f t="shared" si="0"/>
        <v>32.823332569805871</v>
      </c>
      <c r="E27" s="202">
        <v>4148.6056005009996</v>
      </c>
      <c r="F27" s="202">
        <f>IF($A27="","",'2'!N27)</f>
        <v>1177.8858307840001</v>
      </c>
      <c r="G27" s="117">
        <f t="shared" si="1"/>
        <v>28.392330922991444</v>
      </c>
      <c r="H27" s="117">
        <f t="shared" si="2"/>
        <v>-4.2144939867646229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mensual'!IH27:IL27))</f>
        <v>854.433555662</v>
      </c>
      <c r="D28" s="117">
        <f t="shared" si="0"/>
        <v>32.888621036006164</v>
      </c>
      <c r="E28" s="202">
        <v>2864.449702333</v>
      </c>
      <c r="F28" s="202">
        <f>IF($A28="","",'2'!N28)</f>
        <v>898.76815269400004</v>
      </c>
      <c r="G28" s="117">
        <f t="shared" si="1"/>
        <v>31.376642849130253</v>
      </c>
      <c r="H28" s="117">
        <f t="shared" si="2"/>
        <v>5.1887705882115398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mensual'!IH28:IL28))</f>
        <v>375.27841205599998</v>
      </c>
      <c r="D29" s="117">
        <f t="shared" si="0"/>
        <v>32.67564644223949</v>
      </c>
      <c r="E29" s="202">
        <v>1284.155898168</v>
      </c>
      <c r="F29" s="202">
        <f>IF($A29="","",'2'!N29)</f>
        <v>279.11767809000003</v>
      </c>
      <c r="G29" s="117">
        <f t="shared" si="1"/>
        <v>21.735497885279685</v>
      </c>
      <c r="H29" s="117">
        <f t="shared" si="2"/>
        <v>-25.623838429493944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mensual'!IH29:IL29))</f>
        <v>1016.9795875939999</v>
      </c>
      <c r="D30" s="117">
        <f t="shared" si="0"/>
        <v>40.405669869944091</v>
      </c>
      <c r="E30" s="202">
        <v>2397.3435679999998</v>
      </c>
      <c r="F30" s="202">
        <f>IF($A30="","",'2'!N30)</f>
        <v>1175.065072996</v>
      </c>
      <c r="G30" s="117">
        <f t="shared" si="1"/>
        <v>49.015297126406708</v>
      </c>
      <c r="H30" s="117">
        <f t="shared" si="2"/>
        <v>15.544607515279978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mensual'!IH30:IL30))</f>
        <v>392.47657839800002</v>
      </c>
      <c r="D31" s="117">
        <f t="shared" si="0"/>
        <v>69.403761665239713</v>
      </c>
      <c r="E31" s="202">
        <v>357.71500100399999</v>
      </c>
      <c r="F31" s="202">
        <f>IF($A31="","",'2'!N31)</f>
        <v>427.10561853799999</v>
      </c>
      <c r="G31" s="117">
        <f t="shared" si="1"/>
        <v>119.39829678354027</v>
      </c>
      <c r="H31" s="117">
        <f t="shared" si="2"/>
        <v>8.8232118923752978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mensual'!IH31:IL31))</f>
        <v>624.50300919599988</v>
      </c>
      <c r="D32" s="117">
        <f t="shared" si="0"/>
        <v>32.002402176073979</v>
      </c>
      <c r="E32" s="202">
        <v>2039.628566996</v>
      </c>
      <c r="F32" s="202">
        <f>IF($A32="","",'2'!N32)</f>
        <v>747.95945445799998</v>
      </c>
      <c r="G32" s="117">
        <f t="shared" si="1"/>
        <v>36.671356077327722</v>
      </c>
      <c r="H32" s="117">
        <f t="shared" si="2"/>
        <v>19.768751061894946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mensual'!IH32:IL32))</f>
        <v>93.932897573999995</v>
      </c>
      <c r="D33" s="117">
        <f t="shared" si="0"/>
        <v>2.1832400382019239</v>
      </c>
      <c r="E33" s="202">
        <v>5759.328888047</v>
      </c>
      <c r="F33" s="202">
        <f>IF($A33="","",'2'!N33)</f>
        <v>286.57380291800001</v>
      </c>
      <c r="G33" s="117">
        <f t="shared" si="1"/>
        <v>4.9758193791078629</v>
      </c>
      <c r="H33" s="117">
        <f t="shared" si="2"/>
        <v>205.08353337257398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mensual'!IH33:IL33))</f>
        <v/>
      </c>
      <c r="D34" s="117"/>
      <c r="E34" s="202"/>
      <c r="F34" s="202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mensual'!IH34:IL34))</f>
        <v>18284.722149029003</v>
      </c>
      <c r="D35" s="121">
        <f t="shared" ref="D35:D70" si="3">IFERROR((C35/B35*100),0)</f>
        <v>35.239885987015079</v>
      </c>
      <c r="E35" s="204">
        <v>53924.620721815998</v>
      </c>
      <c r="F35" s="204">
        <f>IF($A35="","",'2'!N35)</f>
        <v>20155.335056865002</v>
      </c>
      <c r="G35" s="121">
        <f t="shared" ref="G35:G70" si="4">IFERROR((F35/E35*100),0)</f>
        <v>37.376869391147828</v>
      </c>
      <c r="H35" s="121">
        <f t="shared" ref="H35:H70" si="5">IF(C35&lt;&gt;0,F35/C35*100-100," ")</f>
        <v>10.230469419166639</v>
      </c>
      <c r="I35" s="114"/>
      <c r="M35" s="225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mensual'!IH35:IL35))</f>
        <v>7704.0039294879989</v>
      </c>
      <c r="D36" s="123">
        <f t="shared" si="3"/>
        <v>36.516399123048316</v>
      </c>
      <c r="E36" s="204">
        <v>22786.528453141</v>
      </c>
      <c r="F36" s="204">
        <f>IF($A36="","",'2'!N36)</f>
        <v>8305.1159375759999</v>
      </c>
      <c r="G36" s="123">
        <f t="shared" si="4"/>
        <v>36.447482356318233</v>
      </c>
      <c r="H36" s="123">
        <f t="shared" si="5"/>
        <v>7.8025921792066271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mensual'!IH36:IL36))</f>
        <v>2239.3597692210001</v>
      </c>
      <c r="D37" s="115">
        <f t="shared" si="3"/>
        <v>28.858807507674644</v>
      </c>
      <c r="E37" s="203">
        <v>6263.8482895789994</v>
      </c>
      <c r="F37" s="203">
        <f>IF($A37="","",'2'!N37)</f>
        <v>2727.2510721970002</v>
      </c>
      <c r="G37" s="115">
        <f t="shared" si="4"/>
        <v>43.539545437814262</v>
      </c>
      <c r="H37" s="115">
        <f t="shared" si="5"/>
        <v>21.787088867177488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mensual'!IH37:IL37))</f>
        <v>772.05772020199993</v>
      </c>
      <c r="D38" s="117">
        <f t="shared" si="3"/>
        <v>35.119682399036705</v>
      </c>
      <c r="E38" s="202">
        <v>1854.5662297489998</v>
      </c>
      <c r="F38" s="202">
        <f>IF($A38="","",'2'!N38)</f>
        <v>667.46273867299999</v>
      </c>
      <c r="G38" s="117">
        <f t="shared" si="4"/>
        <v>35.990234695653633</v>
      </c>
      <c r="H38" s="117">
        <f t="shared" si="5"/>
        <v>-13.547559825142855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mensual'!IH38:IL38))</f>
        <v>1322.8839482209999</v>
      </c>
      <c r="D39" s="117">
        <f t="shared" si="3"/>
        <v>24.814199905407225</v>
      </c>
      <c r="E39" s="202">
        <v>4214.2444935919993</v>
      </c>
      <c r="F39" s="202">
        <f>IF($A39="","",'2'!N39)</f>
        <v>1917.2591337230001</v>
      </c>
      <c r="G39" s="117">
        <f t="shared" si="4"/>
        <v>45.494729521229786</v>
      </c>
      <c r="H39" s="117">
        <f t="shared" si="5"/>
        <v>44.930259098034242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mensual'!IH39:IL39))</f>
        <v>35.140763149000001</v>
      </c>
      <c r="D40" s="117">
        <f t="shared" si="3"/>
        <v>29.73274393016338</v>
      </c>
      <c r="E40" s="202">
        <v>77.749784465000005</v>
      </c>
      <c r="F40" s="202">
        <f>IF($A40="","",'2'!N40)</f>
        <v>26.594681117</v>
      </c>
      <c r="G40" s="117">
        <f t="shared" si="4"/>
        <v>34.205472465292701</v>
      </c>
      <c r="H40" s="117">
        <f t="shared" si="5"/>
        <v>-24.319568689398821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mensual'!IH40:IL40))</f>
        <v>109.27733764899995</v>
      </c>
      <c r="D41" s="117">
        <f t="shared" si="3"/>
        <v>97.567009410494649</v>
      </c>
      <c r="E41" s="202">
        <v>117.28778177300002</v>
      </c>
      <c r="F41" s="202">
        <f>IF($A41="","",'2'!N41)</f>
        <v>115.93451868400017</v>
      </c>
      <c r="G41" s="117">
        <f t="shared" si="4"/>
        <v>98.84620284522137</v>
      </c>
      <c r="H41" s="117">
        <f t="shared" si="5"/>
        <v>6.092005147840581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mensual'!IH41:IL41))</f>
        <v>2149.8435241409998</v>
      </c>
      <c r="D42" s="115">
        <f t="shared" si="3"/>
        <v>40.996224256233852</v>
      </c>
      <c r="E42" s="203">
        <v>6517.9433275570009</v>
      </c>
      <c r="F42" s="203">
        <f>IF($A42="","",'2'!N42)</f>
        <v>2676.4595909740001</v>
      </c>
      <c r="G42" s="115">
        <f>IFERROR((F42/E42*100),0)</f>
        <v>41.062946645428525</v>
      </c>
      <c r="H42" s="115">
        <f t="shared" si="5"/>
        <v>24.495553323743295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mensual'!IH42:IL42))</f>
        <v>2014.3321719310002</v>
      </c>
      <c r="D43" s="117">
        <f t="shared" si="3"/>
        <v>41.539715206729966</v>
      </c>
      <c r="E43" s="202">
        <v>6019.0385080000005</v>
      </c>
      <c r="F43" s="202">
        <f>IF($A43="","",'2'!N43)</f>
        <v>2439.4012092399998</v>
      </c>
      <c r="G43" s="117">
        <f t="shared" si="4"/>
        <v>40.528087766804497</v>
      </c>
      <c r="H43" s="117">
        <f t="shared" si="5"/>
        <v>21.102231460738437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mensual'!IH43:IL43))</f>
        <v>135.51135221000001</v>
      </c>
      <c r="D44" s="117">
        <f t="shared" si="3"/>
        <v>34.321279410576381</v>
      </c>
      <c r="E44" s="202">
        <v>498.904819557</v>
      </c>
      <c r="F44" s="202">
        <f>IF($A44="","",'2'!N44)</f>
        <v>237.05838173400002</v>
      </c>
      <c r="G44" s="117">
        <f t="shared" si="4"/>
        <v>47.51575299362608</v>
      </c>
      <c r="H44" s="117">
        <f t="shared" si="5"/>
        <v>74.936179049142709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mensual'!IH44:IL44))</f>
        <v>0</v>
      </c>
      <c r="D45" s="117">
        <f t="shared" si="3"/>
        <v>0</v>
      </c>
      <c r="E45" s="202">
        <v>0</v>
      </c>
      <c r="F45" s="202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mensual'!IH45:IL45))</f>
        <v>1991.2195797000002</v>
      </c>
      <c r="D46" s="115">
        <f t="shared" si="3"/>
        <v>36.225008002111032</v>
      </c>
      <c r="E46" s="203">
        <v>5910.1646583310003</v>
      </c>
      <c r="F46" s="203">
        <f>IF($A46="","",'2'!N46)</f>
        <v>2038.677795737</v>
      </c>
      <c r="G46" s="115">
        <f t="shared" si="4"/>
        <v>34.494433126550348</v>
      </c>
      <c r="H46" s="115">
        <f t="shared" si="5"/>
        <v>2.3833743159631808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mensual'!IH46:IL46))</f>
        <v>0</v>
      </c>
      <c r="D47" s="117">
        <f t="shared" si="3"/>
        <v>0</v>
      </c>
      <c r="E47" s="202">
        <v>0</v>
      </c>
      <c r="F47" s="202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mensual'!IH47:IL47))</f>
        <v>0</v>
      </c>
      <c r="D48" s="117">
        <f t="shared" si="3"/>
        <v>0</v>
      </c>
      <c r="E48" s="202">
        <v>0</v>
      </c>
      <c r="F48" s="202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mensual'!IH48:IL48))</f>
        <v>0</v>
      </c>
      <c r="D49" s="117">
        <f t="shared" si="3"/>
        <v>0</v>
      </c>
      <c r="E49" s="202">
        <v>0</v>
      </c>
      <c r="F49" s="202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mensual'!IH49:IL49))</f>
        <v>24.590220840000001</v>
      </c>
      <c r="D50" s="117">
        <f t="shared" si="3"/>
        <v>33.445071928865175</v>
      </c>
      <c r="E50" s="202">
        <v>91.705007258999998</v>
      </c>
      <c r="F50" s="202">
        <f>IF($A50="","",'2'!N50)</f>
        <v>27.084822189</v>
      </c>
      <c r="G50" s="117">
        <f t="shared" si="4"/>
        <v>29.534725527587675</v>
      </c>
      <c r="H50" s="117">
        <f t="shared" si="5"/>
        <v>10.144688676167249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mensual'!IH50:IL50))</f>
        <v>24.590220840000001</v>
      </c>
      <c r="D51" s="117">
        <f t="shared" si="3"/>
        <v>33.445071928865175</v>
      </c>
      <c r="E51" s="202">
        <v>96.152304061999999</v>
      </c>
      <c r="F51" s="202">
        <f>IF($A51="","",'2'!N51)</f>
        <v>27.084822189</v>
      </c>
      <c r="G51" s="117">
        <f t="shared" si="4"/>
        <v>28.168666838743071</v>
      </c>
      <c r="H51" s="117">
        <f t="shared" si="5"/>
        <v>10.144688676167249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mensual'!IH51:IL51))</f>
        <v>0</v>
      </c>
      <c r="D52" s="117">
        <f t="shared" si="3"/>
        <v>0</v>
      </c>
      <c r="E52" s="202">
        <v>-4.4472968030000004</v>
      </c>
      <c r="F52" s="202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mensual'!IH52:IL52))</f>
        <v>1966.6293588600001</v>
      </c>
      <c r="D53" s="117">
        <f t="shared" si="3"/>
        <v>36.26269596593751</v>
      </c>
      <c r="E53" s="202">
        <v>5818.4596510720003</v>
      </c>
      <c r="F53" s="202">
        <f>IF($A53="","",'2'!N53)</f>
        <v>2011.5929735479999</v>
      </c>
      <c r="G53" s="117">
        <f t="shared" si="4"/>
        <v>34.572603303648961</v>
      </c>
      <c r="H53" s="117">
        <f t="shared" si="5"/>
        <v>2.2863288644314821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mensual'!IH53:IL53))</f>
        <v>1393.8015047560002</v>
      </c>
      <c r="D54" s="117">
        <f t="shared" si="3"/>
        <v>37.540564141999575</v>
      </c>
      <c r="E54" s="202">
        <v>4027.2868069080005</v>
      </c>
      <c r="F54" s="202">
        <f>IF($A54="","",'2'!N54)</f>
        <v>1435.573484061</v>
      </c>
      <c r="G54" s="117">
        <f t="shared" si="4"/>
        <v>35.646169565042214</v>
      </c>
      <c r="H54" s="117">
        <f t="shared" si="5"/>
        <v>2.99698193483529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mensual'!IH54:IL54))</f>
        <v>572.82785410400004</v>
      </c>
      <c r="D55" s="117">
        <f t="shared" si="3"/>
        <v>33.488968232862796</v>
      </c>
      <c r="E55" s="202">
        <v>1791.1728441639996</v>
      </c>
      <c r="F55" s="202">
        <f>IF($A55="","",'2'!N55)</f>
        <v>576.01948948699999</v>
      </c>
      <c r="G55" s="117">
        <f t="shared" si="4"/>
        <v>32.158788659831856</v>
      </c>
      <c r="H55" s="117">
        <f t="shared" si="5"/>
        <v>0.55717182049259861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mensual'!IH55:IL55))</f>
        <v>3544.6012881000001</v>
      </c>
      <c r="D56" s="115">
        <f t="shared" si="3"/>
        <v>36.853909739473551</v>
      </c>
      <c r="E56" s="203">
        <v>10228.246069205001</v>
      </c>
      <c r="F56" s="203">
        <f>IF($A56="","",'2'!N56)</f>
        <v>3683.6938850439997</v>
      </c>
      <c r="G56" s="115">
        <f t="shared" si="4"/>
        <v>36.014912626464785</v>
      </c>
      <c r="H56" s="115">
        <f t="shared" si="5"/>
        <v>3.9240689047584425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mensual'!IH56:IL56))</f>
        <v>1941.076091506</v>
      </c>
      <c r="D57" s="117">
        <f t="shared" si="3"/>
        <v>38.109262170637322</v>
      </c>
      <c r="E57" s="202">
        <v>6011.6180528759996</v>
      </c>
      <c r="F57" s="202">
        <f>IF($A57="","",'2'!N57)</f>
        <v>2169.3216925629999</v>
      </c>
      <c r="G57" s="117">
        <f t="shared" si="4"/>
        <v>36.085487692039607</v>
      </c>
      <c r="H57" s="117">
        <f t="shared" si="5"/>
        <v>11.758714769389258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mensual'!IH57:IL57))</f>
        <v>1192.344578658</v>
      </c>
      <c r="D58" s="117">
        <f t="shared" si="3"/>
        <v>33.528849461669708</v>
      </c>
      <c r="E58" s="202">
        <v>3878.1868467950003</v>
      </c>
      <c r="F58" s="202">
        <f>IF($A58="","",'2'!N58)</f>
        <v>1367.5576195840001</v>
      </c>
      <c r="G58" s="117">
        <f t="shared" si="4"/>
        <v>35.262808977710115</v>
      </c>
      <c r="H58" s="117">
        <f t="shared" si="5"/>
        <v>14.694832690328894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mensual'!IH58:IL58))</f>
        <v>411.18061793599998</v>
      </c>
      <c r="D59" s="117">
        <f t="shared" si="3"/>
        <v>42.461797557840377</v>
      </c>
      <c r="E59" s="117">
        <v>338.44116953399998</v>
      </c>
      <c r="F59" s="202">
        <f>IF($A59="","",'2'!N59)</f>
        <v>146.81457289700001</v>
      </c>
      <c r="G59" s="117">
        <f t="shared" si="4"/>
        <v>43.379643528341767</v>
      </c>
      <c r="H59" s="117">
        <f t="shared" si="5"/>
        <v>-64.294383905067335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mensual'!IH59:IL59))</f>
        <v>655.69405837900001</v>
      </c>
      <c r="D60" s="115">
        <f t="shared" si="3"/>
        <v>24.552712804832748</v>
      </c>
      <c r="E60" s="203">
        <v>2217.889924003</v>
      </c>
      <c r="F60" s="203">
        <f>IF($A60="","",'2'!N60)</f>
        <v>724.13677533700002</v>
      </c>
      <c r="G60" s="115">
        <f t="shared" si="4"/>
        <v>32.649806805110885</v>
      </c>
      <c r="H60" s="115">
        <f t="shared" si="5"/>
        <v>10.438209113439797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mensual'!IH60:IL60))</f>
        <v>207.255464327</v>
      </c>
      <c r="D61" s="117">
        <f t="shared" si="3"/>
        <v>19.920243587241771</v>
      </c>
      <c r="E61" s="202">
        <v>746.81660565999994</v>
      </c>
      <c r="F61" s="202">
        <f>IF($A61="","",'2'!N61)</f>
        <v>288.365153588</v>
      </c>
      <c r="G61" s="117">
        <f t="shared" si="4"/>
        <v>38.612579233312175</v>
      </c>
      <c r="H61" s="117">
        <f t="shared" si="5"/>
        <v>39.135127039655828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mensual'!IH61:IL61))</f>
        <v>47.424545281</v>
      </c>
      <c r="D62" s="117">
        <f t="shared" si="3"/>
        <v>23.954808316816798</v>
      </c>
      <c r="E62" s="202">
        <v>194.470843242</v>
      </c>
      <c r="F62" s="202">
        <f>IF($A62="","",'2'!N62)</f>
        <v>46.007786062999998</v>
      </c>
      <c r="G62" s="117">
        <f t="shared" si="4"/>
        <v>23.657935192756785</v>
      </c>
      <c r="H62" s="117">
        <f t="shared" si="5"/>
        <v>-2.987396525586945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mensual'!IH62:IL62))</f>
        <v>76.959980267000006</v>
      </c>
      <c r="D63" s="117">
        <f t="shared" si="3"/>
        <v>24.677962945671648</v>
      </c>
      <c r="E63" s="202">
        <v>282.23398272099996</v>
      </c>
      <c r="F63" s="202">
        <f>IF($A63="","",'2'!N63)</f>
        <v>72.976342283999998</v>
      </c>
      <c r="G63" s="117">
        <f t="shared" si="4"/>
        <v>25.856681601712062</v>
      </c>
      <c r="H63" s="117">
        <f t="shared" si="5"/>
        <v>-5.1762461076255875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mensual'!IH63:IL63))</f>
        <v>12.011231072000001</v>
      </c>
      <c r="D64" s="117">
        <f t="shared" si="3"/>
        <v>37.991355030947894</v>
      </c>
      <c r="E64" s="202">
        <v>-24.309787848999999</v>
      </c>
      <c r="F64" s="202">
        <f>IF($A64="","",'2'!N64)</f>
        <v>4.8935789740000004</v>
      </c>
      <c r="G64" s="117">
        <f t="shared" si="4"/>
        <v>-20.130076841461623</v>
      </c>
      <c r="H64" s="117">
        <f t="shared" si="5"/>
        <v>-59.258306291287042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mensual'!IH64:IL64))</f>
        <v>54.832941041999995</v>
      </c>
      <c r="D65" s="117">
        <f t="shared" si="3"/>
        <v>11.770109885660165</v>
      </c>
      <c r="E65" s="202">
        <v>258.61767461900001</v>
      </c>
      <c r="F65" s="202">
        <f>IF($A65="","",'2'!N65)</f>
        <v>148.15348283099999</v>
      </c>
      <c r="G65" s="117">
        <f t="shared" si="4"/>
        <v>57.286681217462117</v>
      </c>
      <c r="H65" s="117">
        <f t="shared" si="5"/>
        <v>170.1906554994377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mensual'!IH65:IL65))</f>
        <v>16.026766665</v>
      </c>
      <c r="D66" s="117">
        <f t="shared" si="3"/>
        <v>48.400966669385802</v>
      </c>
      <c r="E66" s="202">
        <v>35.803892927</v>
      </c>
      <c r="F66" s="202">
        <f>IF($A66="","",'2'!N66)</f>
        <v>16.333963436000001</v>
      </c>
      <c r="G66" s="117">
        <f t="shared" si="4"/>
        <v>45.620635357454184</v>
      </c>
      <c r="H66" s="117">
        <f t="shared" si="5"/>
        <v>1.9167732170885898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mensual'!IH66:IL66))</f>
        <v>448.43859405200004</v>
      </c>
      <c r="D67" s="117">
        <f t="shared" si="3"/>
        <v>27.509374389583058</v>
      </c>
      <c r="E67" s="202">
        <v>1471.073318343</v>
      </c>
      <c r="F67" s="202">
        <f>IF($A67="","",'2'!N67)</f>
        <v>435.77162174900002</v>
      </c>
      <c r="G67" s="117">
        <f t="shared" si="4"/>
        <v>29.622699039898855</v>
      </c>
      <c r="H67" s="117">
        <f t="shared" si="5"/>
        <v>-2.8246837964020557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mensual'!IH67:IL67))</f>
        <v>270.90072793900003</v>
      </c>
      <c r="D68" s="117">
        <f t="shared" si="3"/>
        <v>27.383091709559725</v>
      </c>
      <c r="E68" s="202">
        <v>803.15068917899998</v>
      </c>
      <c r="F68" s="202">
        <f>IF($A68="","",'2'!N68)</f>
        <v>435.77162174900002</v>
      </c>
      <c r="G68" s="117">
        <f t="shared" si="4"/>
        <v>54.25776602326723</v>
      </c>
      <c r="H68" s="117">
        <f t="shared" si="5"/>
        <v>60.860262378890582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mensual'!IH68:IL68))</f>
        <v>0</v>
      </c>
      <c r="D69" s="117">
        <f t="shared" si="3"/>
        <v>0</v>
      </c>
      <c r="E69" s="202">
        <v>0</v>
      </c>
      <c r="F69" s="202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mensual'!IH69:IL69))</f>
        <v>177.53786611300001</v>
      </c>
      <c r="D70" s="117">
        <f t="shared" si="3"/>
        <v>27.704326563938935</v>
      </c>
      <c r="E70" s="202">
        <v>667.922629164</v>
      </c>
      <c r="F70" s="202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mensual'!IH70:IL70))</f>
        <v/>
      </c>
      <c r="D71" s="117"/>
      <c r="E71" s="202"/>
      <c r="F71" s="202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mensual'!IH71:IL71))</f>
        <v>-717.23526245600033</v>
      </c>
      <c r="D72" s="199"/>
      <c r="E72" s="205">
        <v>-651.6244724049975</v>
      </c>
      <c r="F72" s="205">
        <f>IF($A72="","",'2'!N72)</f>
        <v>978.28373406600167</v>
      </c>
      <c r="G72" s="199"/>
      <c r="H72" s="199"/>
      <c r="I72" s="114"/>
      <c r="L72" s="220"/>
    </row>
    <row r="73" spans="1:12" s="118" customFormat="1" ht="7.5" customHeight="1" x14ac:dyDescent="0.2">
      <c r="A73" s="112"/>
      <c r="B73" s="115"/>
      <c r="C73" s="115" t="str">
        <f>IF($A73="","",SUM('Situfin serie mensual'!IH72:IL72))</f>
        <v/>
      </c>
      <c r="D73" s="121"/>
      <c r="E73" s="203"/>
      <c r="F73" s="203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mensual'!IH73:IL73))</f>
        <v/>
      </c>
      <c r="D74" s="121"/>
      <c r="E74" s="204"/>
      <c r="F74" s="204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mensual'!IH74:IL74))</f>
        <v>2762.2345538320001</v>
      </c>
      <c r="D75" s="115">
        <f>IFERROR((C75/B75*100),0)</f>
        <v>25.606639878309416</v>
      </c>
      <c r="E75" s="203">
        <v>9573.5685952740005</v>
      </c>
      <c r="F75" s="203">
        <f>IF($A75="","",'2'!N75)</f>
        <v>1811.8239360290002</v>
      </c>
      <c r="G75" s="115">
        <f>IFERROR((F75/E75*100),0)</f>
        <v>18.925272410158616</v>
      </c>
      <c r="H75" s="115">
        <f>IF(C75&lt;&gt;0,F75/C75*100-100," ")</f>
        <v>-34.407310432219148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mensual'!IH75:IL75))</f>
        <v>2518.7636792879998</v>
      </c>
      <c r="D76" s="117">
        <f>IFERROR((C76/B76*100),0)</f>
        <v>23.65746226794818</v>
      </c>
      <c r="E76" s="202">
        <v>9472.3421359280001</v>
      </c>
      <c r="F76" s="202">
        <f>IF($A76="","",'2'!N76)</f>
        <v>1714.3753853170001</v>
      </c>
      <c r="G76" s="117">
        <f>IFERROR((F76/E76*100),0)</f>
        <v>18.098748553586148</v>
      </c>
      <c r="H76" s="117">
        <f>IF(C76&lt;&gt;0,F76/C76*100-100," ")</f>
        <v>-31.935838228316157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mensual'!IH76:IL76))</f>
        <v>29.084347374</v>
      </c>
      <c r="D77" s="117">
        <f>IFERROR((C77/B77*100),0)</f>
        <v>20.718788158399406</v>
      </c>
      <c r="E77" s="202">
        <v>101.22645934600001</v>
      </c>
      <c r="F77" s="202">
        <f>IF($A77="","",'2'!N77)</f>
        <v>32.892292024</v>
      </c>
      <c r="G77" s="117">
        <f>IFERROR((F77/E77*100),0)</f>
        <v>32.493769155326824</v>
      </c>
      <c r="H77" s="117">
        <f>IF(C77&lt;&gt;0,F77/C77*100-100," ")</f>
        <v>13.09276292513313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mensual'!IH77:IL77))</f>
        <v>214.38652716999997</v>
      </c>
      <c r="D78" s="117">
        <v>0</v>
      </c>
      <c r="E78" s="202"/>
      <c r="F78" s="202">
        <f>IF($A78="","",'2'!N78)</f>
        <v>64.556258688</v>
      </c>
      <c r="G78" s="117">
        <v>0</v>
      </c>
      <c r="H78" s="117">
        <f>IF(C78&lt;&gt;0,F78/C78*100-100," ")</f>
        <v>-69.887912482107865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mensual'!IH78:IL78))</f>
        <v>-3479.4698162879999</v>
      </c>
      <c r="D79" s="200">
        <f>IFERROR((C79/B79*100),0)</f>
        <v>25.604229938016598</v>
      </c>
      <c r="E79" s="206">
        <v>-10225.193067678998</v>
      </c>
      <c r="F79" s="206">
        <f>IF($A79="","",'2'!N79)</f>
        <v>-833.54020196299871</v>
      </c>
      <c r="G79" s="200">
        <f>IFERROR((F79/E79*100),0)</f>
        <v>8.1518284930751221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mensual'!IH79:IL79))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mensual'!IH81:IL81))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mensual'!IH82:IL82))</f>
        <v>-1418.0492746166087</v>
      </c>
      <c r="D83" s="115">
        <f t="shared" ref="D83:D90" si="6">IFERROR((C83/B83*100),0)</f>
        <v>257.53400383694458</v>
      </c>
      <c r="E83" s="115">
        <v>619.70972158299992</v>
      </c>
      <c r="F83" s="115">
        <f>IF($A83="","",'2'!N83)</f>
        <v>5728.4980951168081</v>
      </c>
      <c r="G83" s="115">
        <f t="shared" ref="G83:G95" si="7">IFERROR((F83/E83*100),0)</f>
        <v>924.38409397286989</v>
      </c>
      <c r="H83" s="115">
        <f t="shared" ref="H83:H88" si="8">IF(C83&lt;&gt;0,F83/C83*100-100," ")</f>
        <v>-503.97031313778535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mensual'!IH83:IL83))</f>
        <v>-1418.0492746166087</v>
      </c>
      <c r="D84" s="117">
        <f t="shared" si="6"/>
        <v>257.53400383694458</v>
      </c>
      <c r="E84" s="117">
        <v>619.70972158299992</v>
      </c>
      <c r="F84" s="117">
        <f>IF($A84="","",'2'!N84)</f>
        <v>5728.4980951168081</v>
      </c>
      <c r="G84" s="117">
        <f t="shared" si="7"/>
        <v>924.38409397286989</v>
      </c>
      <c r="H84" s="117">
        <f t="shared" si="8"/>
        <v>-503.97031313778535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mensual'!IH84:IL84))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mensual'!IH85:IL85))</f>
        <v>2911.3992227099998</v>
      </c>
      <c r="D86" s="115">
        <f t="shared" si="6"/>
        <v>22.32872305922541</v>
      </c>
      <c r="E86" s="115">
        <v>10844.902789262</v>
      </c>
      <c r="F86" s="115">
        <f>IF($A86="","",'2'!N86)</f>
        <v>4948.8139627009987</v>
      </c>
      <c r="G86" s="115">
        <f t="shared" si="7"/>
        <v>45.632626302570735</v>
      </c>
      <c r="H86" s="115">
        <f t="shared" si="8"/>
        <v>69.980603281693675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mensual'!IH86:IL86))</f>
        <v>-1164.1372649190002</v>
      </c>
      <c r="D87" s="117">
        <f t="shared" si="6"/>
        <v>-89.462389359411858</v>
      </c>
      <c r="E87" s="117">
        <v>1113.5280328920003</v>
      </c>
      <c r="F87" s="117">
        <f>IF($A87="","",'2'!N87)</f>
        <v>-2710.6219221010001</v>
      </c>
      <c r="G87" s="117">
        <f t="shared" si="7"/>
        <v>-243.42646453732343</v>
      </c>
      <c r="H87" s="117">
        <f t="shared" si="8"/>
        <v>132.84384099581271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mensual'!IH87:IL87))</f>
        <v>4075.5364876290005</v>
      </c>
      <c r="D88" s="117">
        <f t="shared" si="6"/>
        <v>34.72221161705238</v>
      </c>
      <c r="E88" s="117">
        <v>9731.3747563699999</v>
      </c>
      <c r="F88" s="117">
        <f>IF($A88="","",'2'!N88)</f>
        <v>7659.4358848019992</v>
      </c>
      <c r="G88" s="117">
        <f t="shared" si="7"/>
        <v>78.708672480095956</v>
      </c>
      <c r="H88" s="117">
        <f t="shared" si="8"/>
        <v>87.936874275366421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mensual'!IH88:IL88))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mensual'!IH89:IL89))</f>
        <v>-1421.9203909169996</v>
      </c>
      <c r="D90" s="115">
        <f t="shared" si="6"/>
        <v>303.21076557621632</v>
      </c>
      <c r="E90" s="115">
        <v>-244.89733976499997</v>
      </c>
      <c r="F90" s="115">
        <f>IF($A90="","",'2'!N90)</f>
        <v>-3552.4524704109999</v>
      </c>
      <c r="G90" s="115"/>
      <c r="H90" s="115">
        <f t="shared" ref="H90:H95" si="9">IF(C90&lt;&gt;0,F90/C90*100-100," ")</f>
        <v>149.83483555784832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mensual'!IH90:IL90))</f>
        <v>1855.0934755680005</v>
      </c>
      <c r="D91" s="132">
        <f>IFERROR((C91/B91*100),0)</f>
        <v>0</v>
      </c>
      <c r="E91" s="132">
        <v>0</v>
      </c>
      <c r="F91" s="132">
        <f>IF($A91="","",'2'!N91)</f>
        <v>1932.174787188</v>
      </c>
      <c r="G91" s="132"/>
      <c r="H91" s="132">
        <f t="shared" si="9"/>
        <v>4.1551173908580807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mensual'!IH91:IL91))</f>
        <v>3277.0138664850001</v>
      </c>
      <c r="D92" s="132">
        <f>IFERROR((C92/B92*100),0)</f>
        <v>698.7915002892687</v>
      </c>
      <c r="E92" s="132">
        <v>244.89733976499997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mensual'!IH92:IL92))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mensual'!IH93:IL93))</f>
        <v>-1234.5942575946085</v>
      </c>
      <c r="D94" s="134">
        <f>IFERROR((C94/B94*100),0)</f>
        <v>67.357894589336794</v>
      </c>
      <c r="E94" s="134">
        <v>-825.72117087300001</v>
      </c>
      <c r="F94" s="134">
        <f>IF($A94="","",'2'!N94)</f>
        <v>5394.1570594738077</v>
      </c>
      <c r="G94" s="134">
        <f t="shared" si="7"/>
        <v>-653.26616898665611</v>
      </c>
      <c r="H94" s="134">
        <f t="shared" si="9"/>
        <v>-536.91739422013688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mensual'!IH94:IL94))</f>
        <v>-1234.5942575946085</v>
      </c>
      <c r="D95" s="132">
        <f>IFERROR((C95/B95*100),0)</f>
        <v>67.357894589336794</v>
      </c>
      <c r="E95" s="132">
        <v>-825.72117087300001</v>
      </c>
      <c r="F95" s="132">
        <f>IF($A95="","",'2'!N95)</f>
        <v>5394.1570594738077</v>
      </c>
      <c r="G95" s="132">
        <f t="shared" si="7"/>
        <v>-653.26616898665611</v>
      </c>
      <c r="H95" s="132">
        <f t="shared" si="9"/>
        <v>-536.91739422013688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mensual'!HI95:IL95))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-1613.2243343788082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4"/>
    </row>
    <row r="100" spans="1:12" x14ac:dyDescent="0.2">
      <c r="A100" s="207" t="s">
        <v>191</v>
      </c>
      <c r="B100" s="208">
        <f>B35-B49-B52-B55-B67-B42</f>
        <v>43301.808580236007</v>
      </c>
      <c r="C100" s="208">
        <f>C35-C49-C52-C55-C67-C42</f>
        <v>15113.612176732</v>
      </c>
      <c r="D100" s="132">
        <f>IFERROR((C100/B100*100),0)</f>
        <v>34.902958264958514</v>
      </c>
      <c r="E100" s="208">
        <f>E35-E49-E52-E55-E67-E42</f>
        <v>44148.878528554997</v>
      </c>
      <c r="F100" s="208">
        <f>F35-F49-F52-F55-F67-F42</f>
        <v>16467.084354655002</v>
      </c>
      <c r="G100" s="132">
        <f t="shared" ref="G100:G101" si="10">IFERROR((F100/E100*100),0)</f>
        <v>37.29898675456564</v>
      </c>
      <c r="H100" s="132">
        <f t="shared" ref="H100:H101" si="11">IF(C100&lt;&gt;0,F100/C100*100-100," ")</f>
        <v>8.9553189674056028</v>
      </c>
      <c r="I100" s="114"/>
      <c r="J100" s="211"/>
    </row>
    <row r="101" spans="1:12" x14ac:dyDescent="0.2">
      <c r="A101" s="207" t="s">
        <v>92</v>
      </c>
      <c r="B101" s="208">
        <f>B79+B42</f>
        <v>-8345.429843450007</v>
      </c>
      <c r="C101" s="208">
        <f>C79+C42</f>
        <v>-1329.6262921470002</v>
      </c>
      <c r="D101" s="132">
        <f>IFERROR((C101/B101*100),0)</f>
        <v>15.932388350140773</v>
      </c>
      <c r="E101" s="208">
        <f>E79+E42</f>
        <v>-3707.2497401219971</v>
      </c>
      <c r="F101" s="208">
        <f>F79+F42</f>
        <v>1842.9193890110014</v>
      </c>
      <c r="G101" s="132">
        <f t="shared" si="10"/>
        <v>-49.711228490108553</v>
      </c>
      <c r="H101" s="132">
        <f t="shared" si="11"/>
        <v>-238.60431309877052</v>
      </c>
      <c r="I101" s="114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4"/>
      <c r="J102" s="211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customWidth="1"/>
    <col min="7" max="7" width="7.7109375" style="103" hidden="1" customWidth="1"/>
    <col min="8" max="10" width="8.5703125" style="103" hidden="1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9" style="103" customWidth="1"/>
    <col min="16" max="16" width="15.14062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1:246" ht="18.75" customHeight="1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</row>
    <row r="6" spans="1:246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6" t="s">
        <v>141</v>
      </c>
      <c r="B8" s="232" t="s">
        <v>154</v>
      </c>
      <c r="C8" s="232" t="s">
        <v>155</v>
      </c>
      <c r="D8" s="232" t="s">
        <v>156</v>
      </c>
      <c r="E8" s="232" t="s">
        <v>157</v>
      </c>
      <c r="F8" s="232" t="s">
        <v>158</v>
      </c>
      <c r="G8" s="232" t="s">
        <v>159</v>
      </c>
      <c r="H8" s="232" t="s">
        <v>160</v>
      </c>
      <c r="I8" s="232" t="s">
        <v>161</v>
      </c>
      <c r="J8" s="232" t="s">
        <v>162</v>
      </c>
      <c r="K8" s="232" t="s">
        <v>163</v>
      </c>
      <c r="L8" s="232" t="s">
        <v>164</v>
      </c>
      <c r="M8" s="232" t="s">
        <v>165</v>
      </c>
      <c r="N8" s="232" t="s">
        <v>166</v>
      </c>
    </row>
    <row r="9" spans="1:246" s="3" customFormat="1" ht="23.25" customHeight="1" thickBot="1" x14ac:dyDescent="0.25">
      <c r="A9" s="237"/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5399.7407134360001</v>
      </c>
      <c r="G10" s="115">
        <f>IF($A10="","",'Situfin serie mensual'!IY2)</f>
        <v>0</v>
      </c>
      <c r="H10" s="115">
        <f>IF($A10="","",'Situfin serie mensual'!IZ2)</f>
        <v>0</v>
      </c>
      <c r="I10" s="115">
        <f>IF($A10="","",'Situfin serie mensual'!JA2)</f>
        <v>0</v>
      </c>
      <c r="J10" s="115">
        <f>IF($A10="","",'Situfin serie mensual'!JB2)</f>
        <v>0</v>
      </c>
      <c r="K10" s="115">
        <f>IF($A10="","",'Situfin serie mensual'!JC2)</f>
        <v>0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21133.618790931003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4387.4784807799997</v>
      </c>
      <c r="G12" s="115">
        <f>IF($A12="","",'Situfin serie mensual'!IY4)</f>
        <v>0</v>
      </c>
      <c r="H12" s="115">
        <f>IF($A12="","",'Situfin serie mensual'!IZ4)</f>
        <v>0</v>
      </c>
      <c r="I12" s="115">
        <f>IF($A12="","",'Situfin serie mensual'!JA4)</f>
        <v>0</v>
      </c>
      <c r="J12" s="115">
        <f>IF($A12="","",'Situfin serie mensual'!JB4)</f>
        <v>0</v>
      </c>
      <c r="K12" s="115">
        <f>IF($A12="","",'Situfin serie mensual'!JC4)</f>
        <v>0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16403.185954588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0</v>
      </c>
      <c r="H14" s="115">
        <f>IF($A14="","",'Situfin serie mensual'!IZ13)</f>
        <v>0</v>
      </c>
      <c r="I14" s="115">
        <f>IF($A14="","",'Situfin serie mensual'!JA13)</f>
        <v>0</v>
      </c>
      <c r="J14" s="115">
        <f>IF($A14="","",'Situfin serie mensual'!JB13)</f>
        <v>0</v>
      </c>
      <c r="K14" s="115">
        <f>IF($A14="","",'Situfin serie mensual'!JC13)</f>
        <v>0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1357.1845681080001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154.33945625199999</v>
      </c>
      <c r="G16" s="115">
        <f>IF($A16="","",'Situfin serie mensual'!IY15)</f>
        <v>0</v>
      </c>
      <c r="H16" s="115">
        <f>IF($A16="","",'Situfin serie mensual'!IZ15)</f>
        <v>0</v>
      </c>
      <c r="I16" s="115">
        <f>IF($A16="","",'Situfin serie mensual'!JA15)</f>
        <v>0</v>
      </c>
      <c r="J16" s="115">
        <f>IF($A16="","",'Situfin serie mensual'!JB15)</f>
        <v>0</v>
      </c>
      <c r="K16" s="115">
        <f>IF($A16="","",'Situfin serie mensual'!JC15)</f>
        <v>0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733.72356153700002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0</v>
      </c>
      <c r="I17" s="117">
        <f>IF($A17="","",'Situfin serie mensual'!JA16)</f>
        <v>0</v>
      </c>
      <c r="J17" s="117">
        <f>IF($A17="","",'Situfin serie mensual'!JB16)</f>
        <v>0</v>
      </c>
      <c r="K17" s="117">
        <f>IF($A17="","",'Situfin serie mensual'!JC16)</f>
        <v>0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26.944195075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0</v>
      </c>
      <c r="I19" s="117">
        <f>IF($A19="","",'Situfin serie mensual'!JA18)</f>
        <v>0</v>
      </c>
      <c r="J19" s="117">
        <f>IF($A19="","",'Situfin serie mensual'!JB18)</f>
        <v>0</v>
      </c>
      <c r="K19" s="117">
        <f>IF($A19="","",'Situfin serie mensual'!JC18)</f>
        <v>0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26.944195075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154.33945625199999</v>
      </c>
      <c r="G23" s="117">
        <f>IF($A23="","",'Situfin serie mensual'!IY22)</f>
        <v>0</v>
      </c>
      <c r="H23" s="117">
        <f>IF($A23="","",'Situfin serie mensual'!IZ22)</f>
        <v>0</v>
      </c>
      <c r="I23" s="117">
        <f>IF($A23="","",'Situfin serie mensual'!JA22)</f>
        <v>0</v>
      </c>
      <c r="J23" s="117">
        <f>IF($A23="","",'Situfin serie mensual'!JB22)</f>
        <v>0</v>
      </c>
      <c r="K23" s="117">
        <f>IF($A23="","",'Situfin serie mensual'!JC22)</f>
        <v>0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554.26482478699995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154.33945625199999</v>
      </c>
      <c r="G24" s="117">
        <f>IF($A24="","",'Situfin serie mensual'!IY23)</f>
        <v>0</v>
      </c>
      <c r="H24" s="117">
        <f>IF($A24="","",'Situfin serie mensual'!IZ23)</f>
        <v>0</v>
      </c>
      <c r="I24" s="117">
        <f>IF($A24="","",'Situfin serie mensual'!JA23)</f>
        <v>0</v>
      </c>
      <c r="J24" s="117">
        <f>IF($A24="","",'Situfin serie mensual'!JB23)</f>
        <v>0</v>
      </c>
      <c r="K24" s="117">
        <f>IF($A24="","",'Situfin serie mensual'!JC23)</f>
        <v>0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554.26482478699995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598.0044411670001</v>
      </c>
      <c r="G26" s="115">
        <f>IF($A26="","",'Situfin serie mensual'!IY25)</f>
        <v>0</v>
      </c>
      <c r="H26" s="115">
        <f>IF($A26="","",'Situfin serie mensual'!IZ25)</f>
        <v>0</v>
      </c>
      <c r="I26" s="115">
        <f>IF($A26="","",'Situfin serie mensual'!JA25)</f>
        <v>0</v>
      </c>
      <c r="J26" s="115">
        <f>IF($A26="","",'Situfin serie mensual'!JB25)</f>
        <v>0</v>
      </c>
      <c r="K26" s="115">
        <f>IF($A26="","",'Situfin serie mensual'!JC25)</f>
        <v>0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2639.524706698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0</v>
      </c>
      <c r="H27" s="117">
        <f>IF($A27="","",'Situfin serie mensual'!IZ26)</f>
        <v>0</v>
      </c>
      <c r="I27" s="117">
        <f>IF($A27="","",'Situfin serie mensual'!JA26)</f>
        <v>0</v>
      </c>
      <c r="J27" s="117">
        <f>IF($A27="","",'Situfin serie mensual'!JB26)</f>
        <v>0</v>
      </c>
      <c r="K27" s="117">
        <f>IF($A27="","",'Situfin serie mensual'!JC26)</f>
        <v>0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1177.8858307840001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0</v>
      </c>
      <c r="H28" s="117">
        <f>IF($A28="","",'Situfin serie mensual'!IZ27)</f>
        <v>0</v>
      </c>
      <c r="I28" s="117">
        <f>IF($A28="","",'Situfin serie mensual'!JA27)</f>
        <v>0</v>
      </c>
      <c r="J28" s="117">
        <f>IF($A28="","",'Situfin serie mensual'!JB27)</f>
        <v>0</v>
      </c>
      <c r="K28" s="117">
        <f>IF($A28="","",'Situfin serie mensual'!JC27)</f>
        <v>0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898.76815269400004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0</v>
      </c>
      <c r="H29" s="117">
        <f>IF($A29="","",'Situfin serie mensual'!IZ28)</f>
        <v>0</v>
      </c>
      <c r="I29" s="117">
        <f>IF($A29="","",'Situfin serie mensual'!JA28)</f>
        <v>0</v>
      </c>
      <c r="J29" s="117">
        <f>IF($A29="","",'Situfin serie mensual'!JB28)</f>
        <v>0</v>
      </c>
      <c r="K29" s="117">
        <f>IF($A29="","",'Situfin serie mensual'!JC28)</f>
        <v>0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279.11767809000003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259.07830443700004</v>
      </c>
      <c r="G30" s="117">
        <f>IF($A30="","",'Situfin serie mensual'!IY29)</f>
        <v>0</v>
      </c>
      <c r="H30" s="117">
        <f>IF($A30="","",'Situfin serie mensual'!IZ29)</f>
        <v>0</v>
      </c>
      <c r="I30" s="117">
        <f>IF($A30="","",'Situfin serie mensual'!JA29)</f>
        <v>0</v>
      </c>
      <c r="J30" s="117">
        <f>IF($A30="","",'Situfin serie mensual'!JB29)</f>
        <v>0</v>
      </c>
      <c r="K30" s="117">
        <f>IF($A30="","",'Situfin serie mensual'!JC29)</f>
        <v>0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1175.065072996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0</v>
      </c>
      <c r="H31" s="117">
        <f>IF($A31="","",'Situfin serie mensual'!IZ30)</f>
        <v>0</v>
      </c>
      <c r="I31" s="117">
        <f>IF($A31="","",'Situfin serie mensual'!JA30)</f>
        <v>0</v>
      </c>
      <c r="J31" s="117">
        <f>IF($A31="","",'Situfin serie mensual'!JB30)</f>
        <v>0</v>
      </c>
      <c r="K31" s="117">
        <f>IF($A31="","",'Situfin serie mensual'!JC30)</f>
        <v>0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427.10561853799999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151.91401576000001</v>
      </c>
      <c r="G32" s="117">
        <f>IF($A32="","",'Situfin serie mensual'!IY31)</f>
        <v>0</v>
      </c>
      <c r="H32" s="117">
        <f>IF($A32="","",'Situfin serie mensual'!IZ31)</f>
        <v>0</v>
      </c>
      <c r="I32" s="117">
        <f>IF($A32="","",'Situfin serie mensual'!JA31)</f>
        <v>0</v>
      </c>
      <c r="J32" s="117">
        <f>IF($A32="","",'Situfin serie mensual'!JB31)</f>
        <v>0</v>
      </c>
      <c r="K32" s="117">
        <f>IF($A32="","",'Situfin serie mensual'!JC31)</f>
        <v>0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747.95945445799998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164.81390964900001</v>
      </c>
      <c r="G33" s="117">
        <f>IF($A33="","",'Situfin serie mensual'!IY32)</f>
        <v>0</v>
      </c>
      <c r="H33" s="117">
        <f>IF($A33="","",'Situfin serie mensual'!IZ32)</f>
        <v>0</v>
      </c>
      <c r="I33" s="117">
        <f>IF($A33="","",'Situfin serie mensual'!JA32)</f>
        <v>0</v>
      </c>
      <c r="J33" s="117">
        <f>IF($A33="","",'Situfin serie mensual'!JB32)</f>
        <v>0</v>
      </c>
      <c r="K33" s="117">
        <f>IF($A33="","",'Situfin serie mensual'!JC32)</f>
        <v>0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286.57380291800001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0</v>
      </c>
      <c r="H35" s="121">
        <f>IF($A35="","",'Situfin serie mensual'!IZ34)</f>
        <v>0</v>
      </c>
      <c r="I35" s="121">
        <f>IF($A35="","",'Situfin serie mensual'!JA34)</f>
        <v>0</v>
      </c>
      <c r="J35" s="121">
        <f>IF($A35="","",'Situfin serie mensual'!JB34)</f>
        <v>0</v>
      </c>
      <c r="K35" s="121">
        <f>IF($A35="","",'Situfin serie mensual'!JC34)</f>
        <v>0</v>
      </c>
      <c r="L35" s="224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20155.335056865002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0</v>
      </c>
      <c r="H36" s="115">
        <f>IF($A36="","",'Situfin serie mensual'!IZ35)</f>
        <v>0</v>
      </c>
      <c r="I36" s="115">
        <f>IF($A36="","",'Situfin serie mensual'!JA35)</f>
        <v>0</v>
      </c>
      <c r="J36" s="115">
        <f>IF($A36="","",'Situfin serie mensual'!JB35)</f>
        <v>0</v>
      </c>
      <c r="K36" s="115">
        <f>IF($A36="","",'Situfin serie mensual'!JC35)</f>
        <v>0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8305.1159375759999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0</v>
      </c>
      <c r="H37" s="115">
        <f>IF($A37="","",'Situfin serie mensual'!IZ36)</f>
        <v>0</v>
      </c>
      <c r="I37" s="115">
        <f>IF($A37="","",'Situfin serie mensual'!JA36)</f>
        <v>0</v>
      </c>
      <c r="J37" s="115">
        <f>IF($A37="","",'Situfin serie mensual'!JB36)</f>
        <v>0</v>
      </c>
      <c r="K37" s="115">
        <f>IF($A37="","",'Situfin serie mensual'!JC36)</f>
        <v>0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2727.2510721970002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0</v>
      </c>
      <c r="H38" s="117">
        <f>IF($A38="","",'Situfin serie mensual'!IZ37)</f>
        <v>0</v>
      </c>
      <c r="I38" s="117">
        <f>IF($A38="","",'Situfin serie mensual'!JA37)</f>
        <v>0</v>
      </c>
      <c r="J38" s="117">
        <f>IF($A38="","",'Situfin serie mensual'!JB37)</f>
        <v>0</v>
      </c>
      <c r="K38" s="117">
        <f>IF($A38="","",'Situfin serie mensual'!JC37)</f>
        <v>0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667.46273867299999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0</v>
      </c>
      <c r="H39" s="117">
        <f>IF($A39="","",'Situfin serie mensual'!IZ38)</f>
        <v>0</v>
      </c>
      <c r="I39" s="117">
        <f>IF($A39="","",'Situfin serie mensual'!JA38)</f>
        <v>0</v>
      </c>
      <c r="J39" s="117">
        <f>IF($A39="","",'Situfin serie mensual'!JB38)</f>
        <v>0</v>
      </c>
      <c r="K39" s="117">
        <f>IF($A39="","",'Situfin serie mensual'!JC38)</f>
        <v>0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1917.2591337230001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0</v>
      </c>
      <c r="H40" s="117">
        <f>IF($A40="","",'Situfin serie mensual'!IZ39)</f>
        <v>0</v>
      </c>
      <c r="I40" s="117">
        <f>IF($A40="","",'Situfin serie mensual'!JA39)</f>
        <v>0</v>
      </c>
      <c r="J40" s="117">
        <f>IF($A40="","",'Situfin serie mensual'!JB39)</f>
        <v>0</v>
      </c>
      <c r="K40" s="117">
        <f>IF($A40="","",'Situfin serie mensual'!JC39)</f>
        <v>0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26.594681117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0</v>
      </c>
      <c r="I41" s="117">
        <f>IF($A41="","",'Situfin serie mensual'!JA40)</f>
        <v>0</v>
      </c>
      <c r="J41" s="117">
        <f>IF($A41="","",'Situfin serie mensual'!JB40)</f>
        <v>0</v>
      </c>
      <c r="K41" s="117">
        <f>IF($A41="","",'Situfin serie mensual'!JC40)</f>
        <v>0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115.93451868400017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0</v>
      </c>
      <c r="H42" s="115">
        <f>IF($A42="","",'Situfin serie mensual'!IZ41)</f>
        <v>0</v>
      </c>
      <c r="I42" s="115">
        <f>IF($A42="","",'Situfin serie mensual'!JA41)</f>
        <v>0</v>
      </c>
      <c r="J42" s="115">
        <f>IF($A42="","",'Situfin serie mensual'!JB41)</f>
        <v>0</v>
      </c>
      <c r="K42" s="115">
        <f>IF($A42="","",'Situfin serie mensual'!JC41)</f>
        <v>0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2676.4595909740001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0</v>
      </c>
      <c r="H43" s="117">
        <f>IF($A43="","",'Situfin serie mensual'!IZ42)</f>
        <v>0</v>
      </c>
      <c r="I43" s="117">
        <f>IF($A43="","",'Situfin serie mensual'!JA42)</f>
        <v>0</v>
      </c>
      <c r="J43" s="117">
        <f>IF($A43="","",'Situfin serie mensual'!JB42)</f>
        <v>0</v>
      </c>
      <c r="K43" s="117">
        <f>IF($A43="","",'Situfin serie mensual'!JC42)</f>
        <v>0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2439.4012092399998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0</v>
      </c>
      <c r="H44" s="117">
        <f>IF($A44="","",'Situfin serie mensual'!IZ43)</f>
        <v>0</v>
      </c>
      <c r="I44" s="117">
        <f>IF($A44="","",'Situfin serie mensual'!JA43)</f>
        <v>0</v>
      </c>
      <c r="J44" s="117">
        <f>IF($A44="","",'Situfin serie mensual'!JB43)</f>
        <v>0</v>
      </c>
      <c r="K44" s="117">
        <f>IF($A44="","",'Situfin serie mensual'!JC43)</f>
        <v>0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237.05838173400002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0</v>
      </c>
      <c r="H46" s="115">
        <f>IF($A46="","",'Situfin serie mensual'!IZ45)</f>
        <v>0</v>
      </c>
      <c r="I46" s="115">
        <f>IF($A46="","",'Situfin serie mensual'!JA45)</f>
        <v>0</v>
      </c>
      <c r="J46" s="115">
        <f>IF($A46="","",'Situfin serie mensual'!JB45)</f>
        <v>0</v>
      </c>
      <c r="K46" s="115">
        <f>IF($A46="","",'Situfin serie mensual'!JC45)</f>
        <v>0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2038.677795737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0</v>
      </c>
      <c r="H50" s="117">
        <f>IF($A50="","",'Situfin serie mensual'!IZ49)</f>
        <v>0</v>
      </c>
      <c r="I50" s="117">
        <f>IF($A50="","",'Situfin serie mensual'!JA49)</f>
        <v>0</v>
      </c>
      <c r="J50" s="117">
        <f>IF($A50="","",'Situfin serie mensual'!JB49)</f>
        <v>0</v>
      </c>
      <c r="K50" s="117">
        <f>IF($A50="","",'Situfin serie mensual'!JC49)</f>
        <v>0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27.084822189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0</v>
      </c>
      <c r="H51" s="117">
        <f>IF($A51="","",'Situfin serie mensual'!IZ50)</f>
        <v>0</v>
      </c>
      <c r="I51" s="117">
        <f>IF($A51="","",'Situfin serie mensual'!JA50)</f>
        <v>0</v>
      </c>
      <c r="J51" s="117">
        <f>IF($A51="","",'Situfin serie mensual'!JB50)</f>
        <v>0</v>
      </c>
      <c r="K51" s="117">
        <f>IF($A51="","",'Situfin serie mensual'!JC50)</f>
        <v>0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27.084822189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0</v>
      </c>
      <c r="H53" s="117">
        <f>IF($A53="","",'Situfin serie mensual'!IZ52)</f>
        <v>0</v>
      </c>
      <c r="I53" s="117">
        <f>IF($A53="","",'Situfin serie mensual'!JA52)</f>
        <v>0</v>
      </c>
      <c r="J53" s="117">
        <f>IF($A53="","",'Situfin serie mensual'!JB52)</f>
        <v>0</v>
      </c>
      <c r="K53" s="117">
        <f>IF($A53="","",'Situfin serie mensual'!JC52)</f>
        <v>0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2011.5929735479999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0</v>
      </c>
      <c r="H54" s="117">
        <f>IF($A54="","",'Situfin serie mensual'!IZ53)</f>
        <v>0</v>
      </c>
      <c r="I54" s="117">
        <f>IF($A54="","",'Situfin serie mensual'!JA53)</f>
        <v>0</v>
      </c>
      <c r="J54" s="117">
        <f>IF($A54="","",'Situfin serie mensual'!JB53)</f>
        <v>0</v>
      </c>
      <c r="K54" s="117">
        <f>IF($A54="","",'Situfin serie mensual'!JC53)</f>
        <v>0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1435.573484061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0</v>
      </c>
      <c r="H55" s="117">
        <f>IF($A55="","",'Situfin serie mensual'!IZ54)</f>
        <v>0</v>
      </c>
      <c r="I55" s="117">
        <f>IF($A55="","",'Situfin serie mensual'!JA54)</f>
        <v>0</v>
      </c>
      <c r="J55" s="117">
        <f>IF($A55="","",'Situfin serie mensual'!JB54)</f>
        <v>0</v>
      </c>
      <c r="K55" s="117">
        <f>IF($A55="","",'Situfin serie mensual'!JC54)</f>
        <v>0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576.01948948699999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0</v>
      </c>
      <c r="H56" s="115">
        <f>IF($A56="","",'Situfin serie mensual'!IZ55)</f>
        <v>0</v>
      </c>
      <c r="I56" s="115">
        <f>IF($A56="","",'Situfin serie mensual'!JA55)</f>
        <v>0</v>
      </c>
      <c r="J56" s="115">
        <f>IF($A56="","",'Situfin serie mensual'!JB55)</f>
        <v>0</v>
      </c>
      <c r="K56" s="115">
        <f>IF($A56="","",'Situfin serie mensual'!JC55)</f>
        <v>0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3683.6938850439997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0</v>
      </c>
      <c r="H57" s="117">
        <f>IF($A57="","",'Situfin serie mensual'!IZ56)</f>
        <v>0</v>
      </c>
      <c r="I57" s="117">
        <f>IF($A57="","",'Situfin serie mensual'!JA56)</f>
        <v>0</v>
      </c>
      <c r="J57" s="117">
        <f>IF($A57="","",'Situfin serie mensual'!JB56)</f>
        <v>0</v>
      </c>
      <c r="K57" s="117">
        <f>IF($A57="","",'Situfin serie mensual'!JC56)</f>
        <v>0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2169.3216925629999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0</v>
      </c>
      <c r="H58" s="117">
        <f>IF($A58="","",'Situfin serie mensual'!IZ57)</f>
        <v>0</v>
      </c>
      <c r="I58" s="117">
        <f>IF($A58="","",'Situfin serie mensual'!JA57)</f>
        <v>0</v>
      </c>
      <c r="J58" s="117">
        <f>IF($A58="","",'Situfin serie mensual'!JB57)</f>
        <v>0</v>
      </c>
      <c r="K58" s="117">
        <f>IF($A58="","",'Situfin serie mensual'!JC57)</f>
        <v>0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1367.5576195840001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0</v>
      </c>
      <c r="H59" s="117">
        <f>IF($A59="","",'Situfin serie mensual'!IZ58)</f>
        <v>0</v>
      </c>
      <c r="I59" s="117">
        <f>IF($A59="","",'Situfin serie mensual'!JA58)</f>
        <v>0</v>
      </c>
      <c r="J59" s="117">
        <f>IF($A59="","",'Situfin serie mensual'!JB58)</f>
        <v>0</v>
      </c>
      <c r="K59" s="117">
        <f>IF($A59="","",'Situfin serie mensual'!JC58)</f>
        <v>0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146.81457289700001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0</v>
      </c>
      <c r="H60" s="115">
        <f>IF($A60="","",'Situfin serie mensual'!IZ59)</f>
        <v>0</v>
      </c>
      <c r="I60" s="115">
        <f>IF($A60="","",'Situfin serie mensual'!JA59)</f>
        <v>0</v>
      </c>
      <c r="J60" s="115">
        <f>IF($A60="","",'Situfin serie mensual'!JB59)</f>
        <v>0</v>
      </c>
      <c r="K60" s="115">
        <f>IF($A60="","",'Situfin serie mensual'!JC59)</f>
        <v>0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724.13677533700002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0</v>
      </c>
      <c r="H61" s="117">
        <f>IF($A61="","",'Situfin serie mensual'!IZ60)</f>
        <v>0</v>
      </c>
      <c r="I61" s="117">
        <f>IF($A61="","",'Situfin serie mensual'!JA60)</f>
        <v>0</v>
      </c>
      <c r="J61" s="117">
        <f>IF($A61="","",'Situfin serie mensual'!JB60)</f>
        <v>0</v>
      </c>
      <c r="K61" s="117">
        <f>IF($A61="","",'Situfin serie mensual'!JC60)</f>
        <v>0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288.365153588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0</v>
      </c>
      <c r="H62" s="117">
        <f>IF($A62="","",'Situfin serie mensual'!IZ61)</f>
        <v>0</v>
      </c>
      <c r="I62" s="117">
        <f>IF($A62="","",'Situfin serie mensual'!JA61)</f>
        <v>0</v>
      </c>
      <c r="J62" s="117">
        <f>IF($A62="","",'Situfin serie mensual'!JB61)</f>
        <v>0</v>
      </c>
      <c r="K62" s="117">
        <f>IF($A62="","",'Situfin serie mensual'!JC61)</f>
        <v>0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46.007786062999998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0</v>
      </c>
      <c r="H63" s="117">
        <f>IF($A63="","",'Situfin serie mensual'!IZ62)</f>
        <v>0</v>
      </c>
      <c r="I63" s="117">
        <f>IF($A63="","",'Situfin serie mensual'!JA62)</f>
        <v>0</v>
      </c>
      <c r="J63" s="117">
        <f>IF($A63="","",'Situfin serie mensual'!JB62)</f>
        <v>0</v>
      </c>
      <c r="K63" s="117">
        <f>IF($A63="","",'Situfin serie mensual'!JC62)</f>
        <v>0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72.976342283999998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</v>
      </c>
      <c r="H64" s="117">
        <f>IF($A64="","",'Situfin serie mensual'!IZ63)</f>
        <v>0</v>
      </c>
      <c r="I64" s="117">
        <f>IF($A64="","",'Situfin serie mensual'!JA63)</f>
        <v>0</v>
      </c>
      <c r="J64" s="117">
        <f>IF($A64="","",'Situfin serie mensual'!JB63)</f>
        <v>0</v>
      </c>
      <c r="K64" s="117">
        <f>IF($A64="","",'Situfin serie mensual'!JC63)</f>
        <v>0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4.8935789740000004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0</v>
      </c>
      <c r="H65" s="117">
        <f>IF($A65="","",'Situfin serie mensual'!IZ64)</f>
        <v>0</v>
      </c>
      <c r="I65" s="117">
        <f>IF($A65="","",'Situfin serie mensual'!JA64)</f>
        <v>0</v>
      </c>
      <c r="J65" s="117">
        <f>IF($A65="","",'Situfin serie mensual'!JB64)</f>
        <v>0</v>
      </c>
      <c r="K65" s="117">
        <f>IF($A65="","",'Situfin serie mensual'!JC64)</f>
        <v>0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148.15348283099999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0</v>
      </c>
      <c r="H66" s="117">
        <f>IF($A66="","",'Situfin serie mensual'!IZ65)</f>
        <v>0</v>
      </c>
      <c r="I66" s="117">
        <f>IF($A66="","",'Situfin serie mensual'!JA65)</f>
        <v>0</v>
      </c>
      <c r="J66" s="117">
        <f>IF($A66="","",'Situfin serie mensual'!JB65)</f>
        <v>0</v>
      </c>
      <c r="K66" s="117">
        <f>IF($A66="","",'Situfin serie mensual'!JC65)</f>
        <v>0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16.333963436000001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0</v>
      </c>
      <c r="H67" s="117">
        <f>IF($A67="","",'Situfin serie mensual'!IZ66)</f>
        <v>0</v>
      </c>
      <c r="I67" s="117">
        <f>IF($A67="","",'Situfin serie mensual'!JA66)</f>
        <v>0</v>
      </c>
      <c r="J67" s="117">
        <f>IF($A67="","",'Situfin serie mensual'!JB66)</f>
        <v>0</v>
      </c>
      <c r="K67" s="117">
        <f>IF($A67="","",'Situfin serie mensual'!JC66)</f>
        <v>0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435.77162174900002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0</v>
      </c>
      <c r="H68" s="117">
        <f>IF($A68="","",'Situfin serie mensual'!IZ67)</f>
        <v>0</v>
      </c>
      <c r="I68" s="117">
        <f>IF($A68="","",'Situfin serie mensual'!JA67)</f>
        <v>0</v>
      </c>
      <c r="J68" s="117">
        <f>IF($A68="","",'Situfin serie mensual'!JB67)</f>
        <v>0</v>
      </c>
      <c r="K68" s="117">
        <f>IF($A68="","",'Situfin serie mensual'!JC67)</f>
        <v>0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435.77162174900002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1143.7080083730007</v>
      </c>
      <c r="G72" s="125">
        <f>IF($A72="","",'Situfin serie mensual'!IY71)</f>
        <v>0</v>
      </c>
      <c r="H72" s="125">
        <f>IF($A72="","",'Situfin serie mensual'!IZ71)</f>
        <v>0</v>
      </c>
      <c r="I72" s="125">
        <f>IF($A72="","",'Situfin serie mensual'!JA71)</f>
        <v>0</v>
      </c>
      <c r="J72" s="125">
        <f>IF($A72="","",'Situfin serie mensual'!JB71)</f>
        <v>0</v>
      </c>
      <c r="K72" s="125">
        <f>IF($A72="","",'Situfin serie mensual'!JC71)</f>
        <v>0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978.28373406600167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0</v>
      </c>
      <c r="H75" s="115">
        <f>IF($A75="","",'Situfin serie mensual'!IZ74)</f>
        <v>0</v>
      </c>
      <c r="I75" s="115">
        <f>IF($A75="","",'Situfin serie mensual'!JA74)</f>
        <v>0</v>
      </c>
      <c r="J75" s="115">
        <f>IF($A75="","",'Situfin serie mensual'!JB74)</f>
        <v>0</v>
      </c>
      <c r="K75" s="115">
        <f>IF($A75="","",'Situfin serie mensual'!JC74)</f>
        <v>0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1811.8239360290002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0</v>
      </c>
      <c r="H76" s="117">
        <f>IF($A76="","",'Situfin serie mensual'!IZ75)</f>
        <v>0</v>
      </c>
      <c r="I76" s="117">
        <f>IF($A76="","",'Situfin serie mensual'!JA75)</f>
        <v>0</v>
      </c>
      <c r="J76" s="117">
        <f>IF($A76="","",'Situfin serie mensual'!JB75)</f>
        <v>0</v>
      </c>
      <c r="K76" s="117">
        <f>IF($A76="","",'Situfin serie mensual'!JC75)</f>
        <v>0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1714.3753853170001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0</v>
      </c>
      <c r="H77" s="117">
        <f>IF($A77="","",'Situfin serie mensual'!IZ76)</f>
        <v>0</v>
      </c>
      <c r="I77" s="117">
        <f>IF($A77="","",'Situfin serie mensual'!JA76)</f>
        <v>0</v>
      </c>
      <c r="J77" s="117">
        <f>IF($A77="","",'Situfin serie mensual'!JB76)</f>
        <v>0</v>
      </c>
      <c r="K77" s="117">
        <f>IF($A77="","",'Situfin serie mensual'!JC76)</f>
        <v>0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32.892292024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0</v>
      </c>
      <c r="H78" s="117">
        <f>IF($A78="","",'Situfin serie mensual'!IZ77)</f>
        <v>0</v>
      </c>
      <c r="I78" s="117">
        <f>IF($A78="","",'Situfin serie mensual'!JA77)</f>
        <v>0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64.556258688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635.62240621100068</v>
      </c>
      <c r="G79" s="130">
        <f>IF($A79="","",'Situfin serie mensual'!IY78)</f>
        <v>0</v>
      </c>
      <c r="H79" s="130">
        <f>IF($A79="","",'Situfin serie mensual'!IZ78)</f>
        <v>0</v>
      </c>
      <c r="I79" s="130">
        <f>IF($A79="","",'Situfin serie mensual'!JA78)</f>
        <v>0</v>
      </c>
      <c r="J79" s="130">
        <f>IF($A79="","",'Situfin serie mensual'!JB78)</f>
        <v>0</v>
      </c>
      <c r="K79" s="130">
        <f>IF($A79="","",'Situfin serie mensual'!JC78)</f>
        <v>0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-833.54020196299871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-1.1558573839999999</v>
      </c>
      <c r="E83" s="115">
        <f>IF($A83="","",'Situfin serie mensual'!IW82)</f>
        <v>31.709224807000002</v>
      </c>
      <c r="F83" s="115">
        <f>IF($A83="","",'Situfin serie mensual'!IX82)</f>
        <v>28.822257353000001</v>
      </c>
      <c r="G83" s="115">
        <f>IF($A83="","",'Situfin serie mensual'!IY82)</f>
        <v>0</v>
      </c>
      <c r="H83" s="115">
        <f>IF($A83="","",'Situfin serie mensual'!IZ82)</f>
        <v>0</v>
      </c>
      <c r="I83" s="115">
        <f>IF($A83="","",'Situfin serie mensual'!JA82)</f>
        <v>0</v>
      </c>
      <c r="J83" s="115">
        <f>IF($A83="","",'Situfin serie mensual'!JB82)</f>
        <v>0</v>
      </c>
      <c r="K83" s="115">
        <f>IF($A83="","",'Situfin serie mensual'!JC82)</f>
        <v>0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5728.4980951168081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-1.1558573839999999</v>
      </c>
      <c r="E84" s="117">
        <f>IF($A84="","",'Situfin serie mensual'!IW83)</f>
        <v>31.709224807000002</v>
      </c>
      <c r="F84" s="117">
        <f>IF($A84="","",'Situfin serie mensual'!IX83)</f>
        <v>28.822257353000001</v>
      </c>
      <c r="G84" s="117">
        <f>IF($A84="","",'Situfin serie mensual'!IY83)</f>
        <v>0</v>
      </c>
      <c r="H84" s="117">
        <f>IF($A84="","",'Situfin serie mensual'!IZ83)</f>
        <v>0</v>
      </c>
      <c r="I84" s="117">
        <f>IF($A84="","",'Situfin serie mensual'!JA83)</f>
        <v>0</v>
      </c>
      <c r="J84" s="117">
        <f>IF($A84="","",'Situfin serie mensual'!JB83)</f>
        <v>0</v>
      </c>
      <c r="K84" s="117">
        <f>IF($A84="","",'Situfin serie mensual'!JC83)</f>
        <v>0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5728.4980951168081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-555.6078134679999</v>
      </c>
      <c r="E86" s="115">
        <f>IF($A86="","",'Situfin serie mensual'!IW85)</f>
        <v>1146.1299144889999</v>
      </c>
      <c r="F86" s="115">
        <f>IF($A86="","",'Situfin serie mensual'!IX85)</f>
        <v>1622.444519252</v>
      </c>
      <c r="G86" s="115">
        <f>IF($A86="","",'Situfin serie mensual'!IY85)</f>
        <v>0</v>
      </c>
      <c r="H86" s="115">
        <f>IF($A86="","",'Situfin serie mensual'!IZ85)</f>
        <v>0</v>
      </c>
      <c r="I86" s="115">
        <f>IF($A86="","",'Situfin serie mensual'!JA85)</f>
        <v>0</v>
      </c>
      <c r="J86" s="115">
        <f>IF($A86="","",'Situfin serie mensual'!JB85)</f>
        <v>0</v>
      </c>
      <c r="K86" s="115">
        <f>IF($A86="","",'Situfin serie mensual'!JC85)</f>
        <v>0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4948.8139627009987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-16.420111705</v>
      </c>
      <c r="E87" s="117">
        <f>IF($A87="","",'Situfin serie mensual'!IW86)</f>
        <v>1129.139421227</v>
      </c>
      <c r="F87" s="117">
        <f>IF($A87="","",'Situfin serie mensual'!IX86)</f>
        <v>-26.516279398999998</v>
      </c>
      <c r="G87" s="117">
        <f>IF($A87="","",'Situfin serie mensual'!IY86)</f>
        <v>0</v>
      </c>
      <c r="H87" s="117">
        <f>IF($A87="","",'Situfin serie mensual'!IZ86)</f>
        <v>0</v>
      </c>
      <c r="I87" s="117">
        <f>IF($A87="","",'Situfin serie mensual'!JA86)</f>
        <v>0</v>
      </c>
      <c r="J87" s="117">
        <f>IF($A87="","",'Situfin serie mensual'!JB86)</f>
        <v>0</v>
      </c>
      <c r="K87" s="117">
        <f>IF($A87="","",'Situfin serie mensual'!JC86)</f>
        <v>0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-2710.6219221010001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1648.960798651</v>
      </c>
      <c r="G88" s="117">
        <f>IF($A88="","",'Situfin serie mensual'!IY87)</f>
        <v>0</v>
      </c>
      <c r="H88" s="117">
        <f>IF($A88="","",'Situfin serie mensual'!IZ87)</f>
        <v>0</v>
      </c>
      <c r="I88" s="117">
        <f>IF($A88="","",'Situfin serie mensual'!JA87)</f>
        <v>0</v>
      </c>
      <c r="J88" s="117">
        <f>IF($A88="","",'Situfin serie mensual'!JB87)</f>
        <v>0</v>
      </c>
      <c r="K88" s="117">
        <f>IF($A88="","",'Situfin serie mensual'!JC87)</f>
        <v>0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7659.4358848019992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-16.344111705</v>
      </c>
      <c r="E90" s="115">
        <f>IF($A90="","",'Situfin serie mensual'!IW89)</f>
        <v>244.05842122700003</v>
      </c>
      <c r="F90" s="115">
        <f>IF($A90="","",'Situfin serie mensual'!IX89)</f>
        <v>0</v>
      </c>
      <c r="G90" s="115">
        <f>IF($A90="","",'Situfin serie mensual'!IY89)</f>
        <v>0</v>
      </c>
      <c r="H90" s="115">
        <f>IF($A90="","",'Situfin serie mensual'!IZ89)</f>
        <v>0</v>
      </c>
      <c r="I90" s="115">
        <f>IF($A90="","",'Situfin serie mensual'!JA89)</f>
        <v>0</v>
      </c>
      <c r="J90" s="115">
        <f>IF($A90="","",'Situfin serie mensual'!JB89)</f>
        <v>0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-3552.4524704109999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-16.344111705</v>
      </c>
      <c r="E91" s="132">
        <f>IF($A91="","",'Situfin serie mensual'!IW90)</f>
        <v>244.05842122700003</v>
      </c>
      <c r="F91" s="132">
        <f>IF($A91="","",'Situfin serie mensual'!IX90)</f>
        <v>0</v>
      </c>
      <c r="G91" s="132">
        <f>IF($A91="","",'Situfin serie mensual'!IY90)</f>
        <v>0</v>
      </c>
      <c r="H91" s="132">
        <f>IF($A91="","",'Situfin serie mensual'!IZ90)</f>
        <v>0</v>
      </c>
      <c r="I91" s="132">
        <f>IF($A91="","",'Situfin serie mensual'!JA90)</f>
        <v>0</v>
      </c>
      <c r="J91" s="132">
        <f>IF($A91="","",'Situfin serie mensual'!JB90)</f>
        <v>0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1932.174787188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0</v>
      </c>
      <c r="E94" s="134">
        <f>IF($A94="","",'Situfin serie mensual'!IW93)</f>
        <v>0</v>
      </c>
      <c r="F94" s="134">
        <f>IF($A94="","",'Situfin serie mensual'!IX93)</f>
        <v>0</v>
      </c>
      <c r="G94" s="134">
        <f>IF($A94="","",'Situfin serie mensual'!IY93)</f>
        <v>0</v>
      </c>
      <c r="H94" s="134">
        <f>IF($A94="","",'Situfin serie mensual'!IZ93)</f>
        <v>0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5394.1570594738077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0</v>
      </c>
      <c r="E95" s="132">
        <f>IF($A95="","",'Situfin serie mensual'!IW94)</f>
        <v>0</v>
      </c>
      <c r="F95" s="132">
        <f>IF($A95="","",'Situfin serie mensual'!IX94)</f>
        <v>0</v>
      </c>
      <c r="G95" s="132">
        <f>IF($A95="","",'Situfin serie mensual'!IY94)</f>
        <v>0</v>
      </c>
      <c r="H95" s="132">
        <f>IF($A95="","",'Situfin serie mensual'!IZ94)</f>
        <v>0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5394.1570594738077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-2723.1666699899997</v>
      </c>
      <c r="E97" s="134">
        <f>IF($A97="","",'Situfin serie mensual'!IW96)</f>
        <v>1625.0806598849995</v>
      </c>
      <c r="F97" s="134">
        <f>IF($A97="","",'Situfin serie mensual'!IX96)</f>
        <v>2229.2446681100005</v>
      </c>
      <c r="G97" s="134">
        <f>IF($A97="","",'Situfin serie mensual'!IY96)</f>
        <v>0</v>
      </c>
      <c r="H97" s="134">
        <f>IF($A97="","",'Situfin serie mensual'!IZ96)</f>
        <v>0</v>
      </c>
      <c r="I97" s="134">
        <f>IF($A97="","",'Situfin serie mensual'!JA96)</f>
        <v>0</v>
      </c>
      <c r="J97" s="134">
        <f>IF($A97="","",'Situfin serie mensual'!JB96)</f>
        <v>0</v>
      </c>
      <c r="K97" s="134">
        <f>IF($A97="","",'Situfin serie mensual'!JC96)</f>
        <v>0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-1613.2243343788082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2611.5491690860003</v>
      </c>
      <c r="C100" s="209">
        <f t="shared" ref="C100:M100" si="3">C35-C49-C52-C55-C67-C42</f>
        <v>3084.7871149109997</v>
      </c>
      <c r="D100" s="209">
        <f t="shared" si="3"/>
        <v>4011.0284479069996</v>
      </c>
      <c r="E100" s="209">
        <f t="shared" si="3"/>
        <v>3433.9365634220007</v>
      </c>
      <c r="F100" s="209">
        <f t="shared" si="3"/>
        <v>3325.783059329</v>
      </c>
      <c r="G100" s="209">
        <f t="shared" si="3"/>
        <v>0</v>
      </c>
      <c r="H100" s="209">
        <f t="shared" si="3"/>
        <v>0</v>
      </c>
      <c r="I100" s="209">
        <f t="shared" si="3"/>
        <v>0</v>
      </c>
      <c r="J100" s="209">
        <f t="shared" si="3"/>
        <v>0</v>
      </c>
      <c r="K100" s="209">
        <f t="shared" si="3"/>
        <v>0</v>
      </c>
      <c r="L100" s="209">
        <f t="shared" si="3"/>
        <v>0</v>
      </c>
      <c r="M100" s="209">
        <f t="shared" si="3"/>
        <v>0</v>
      </c>
      <c r="N100" s="117">
        <f t="shared" ref="N100:N101" si="4">+SUM(B100:M100)</f>
        <v>16467.084354655002</v>
      </c>
      <c r="O100" s="207"/>
      <c r="P100" s="207"/>
    </row>
    <row r="101" spans="1:16" x14ac:dyDescent="0.2">
      <c r="A101" s="207" t="s">
        <v>92</v>
      </c>
      <c r="B101" s="209">
        <f>B79+B42</f>
        <v>1028.0393381970002</v>
      </c>
      <c r="C101" s="209">
        <f t="shared" ref="C101:M101" si="5">C79+C42</f>
        <v>-252.22155629299948</v>
      </c>
      <c r="D101" s="209">
        <f t="shared" si="5"/>
        <v>-1244.7772629939998</v>
      </c>
      <c r="E101" s="209">
        <f t="shared" si="5"/>
        <v>983.71679364099964</v>
      </c>
      <c r="F101" s="209">
        <f t="shared" si="5"/>
        <v>1328.1620764600007</v>
      </c>
      <c r="G101" s="209">
        <f t="shared" si="5"/>
        <v>0</v>
      </c>
      <c r="H101" s="209">
        <f t="shared" si="5"/>
        <v>0</v>
      </c>
      <c r="I101" s="209">
        <f t="shared" si="5"/>
        <v>0</v>
      </c>
      <c r="J101" s="209">
        <f t="shared" si="5"/>
        <v>0</v>
      </c>
      <c r="K101" s="209">
        <f t="shared" si="5"/>
        <v>0</v>
      </c>
      <c r="L101" s="209">
        <f t="shared" si="5"/>
        <v>0</v>
      </c>
      <c r="M101" s="209">
        <f t="shared" si="5"/>
        <v>0</v>
      </c>
      <c r="N101" s="117">
        <f t="shared" si="4"/>
        <v>1842.9193890110014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6.5" x14ac:dyDescent="0.3">
      <c r="A103" s="173" t="s">
        <v>186</v>
      </c>
      <c r="B103" s="207"/>
      <c r="C103" s="207"/>
      <c r="D103" s="207"/>
      <c r="E103" s="207"/>
      <c r="F103" s="153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59"/>
  <sheetViews>
    <sheetView showGridLines="0" workbookViewId="0">
      <selection activeCell="B39" sqref="B39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19" bestFit="1" customWidth="1"/>
    <col min="4" max="4" width="22.7109375" bestFit="1" customWidth="1"/>
    <col min="5" max="5" width="11.7109375" bestFit="1" customWidth="1"/>
    <col min="6" max="6" width="14.140625" bestFit="1" customWidth="1"/>
    <col min="7" max="7" width="10.7109375" bestFit="1" customWidth="1"/>
    <col min="8" max="8" width="20.42578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204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-229.68208550004215</v>
      </c>
      <c r="C4" s="66">
        <v>99.239892542693468</v>
      </c>
      <c r="S4" t="s">
        <v>120</v>
      </c>
      <c r="T4" s="66">
        <f>VLOOKUP(MAX(A4:A9),$A$4:$B$9,2,0)</f>
        <v>-116.82763861828343</v>
      </c>
      <c r="U4" s="66">
        <f>VLOOKUP(MAX(A4:A9)-1,$A$4:$B$9,2,0)</f>
        <v>-481.40920890908069</v>
      </c>
      <c r="V4" s="182"/>
    </row>
    <row r="5" spans="1:22" x14ac:dyDescent="0.25">
      <c r="A5" s="68">
        <v>2022</v>
      </c>
      <c r="B5" s="66">
        <v>-136.50219674208554</v>
      </c>
      <c r="C5" s="66">
        <v>256.4043001756047</v>
      </c>
      <c r="S5" t="s">
        <v>121</v>
      </c>
      <c r="T5" s="183">
        <f>VLOOKUP(MAX(A14:A19),$A$14:$B$19,2,0)/100</f>
        <v>-2.4954332180062034E-3</v>
      </c>
      <c r="U5" s="183">
        <f>(VLOOKUP(MAX(A14:A19)-1,$A$14:$B$19,2,0))/100</f>
        <v>-1.1112870370076459E-2</v>
      </c>
      <c r="V5" s="182"/>
    </row>
    <row r="6" spans="1:22" x14ac:dyDescent="0.25">
      <c r="A6" s="68">
        <v>2023</v>
      </c>
      <c r="B6" s="66">
        <v>-481.40920890908069</v>
      </c>
      <c r="C6" s="66">
        <v>-99.288380980674319</v>
      </c>
      <c r="S6" t="s">
        <v>192</v>
      </c>
      <c r="T6" s="222">
        <f>VLOOKUP(MAX($G$54:$G$145),$G$54:$J$145,4,0)</f>
        <v>-1390.2606608575443</v>
      </c>
      <c r="U6" s="222">
        <f>VLOOKUP(MAX($G$54:$G$145)-1,$G$54:$J$145,4,0)</f>
        <v>-1553.8752427743996</v>
      </c>
      <c r="V6" s="182"/>
    </row>
    <row r="7" spans="1:22" x14ac:dyDescent="0.25">
      <c r="A7" s="68">
        <v>2024</v>
      </c>
      <c r="B7" s="66">
        <v>-116.82763861828343</v>
      </c>
      <c r="C7" s="66">
        <v>128.12108350120184</v>
      </c>
      <c r="S7" t="s">
        <v>122</v>
      </c>
      <c r="T7" s="183">
        <f>(VLOOKUP(MAX(A54:A139),$A$54:$E$139,5,0))/100</f>
        <v>-3.2353304282235346E-2</v>
      </c>
      <c r="U7" s="183">
        <f>(VLOOKUP(MAX(A54:A139)-1,$A$54:$E$139,5,0))/100</f>
        <v>-3.7168128229700392E-2</v>
      </c>
      <c r="V7" s="182"/>
    </row>
    <row r="8" spans="1:22" x14ac:dyDescent="0.25">
      <c r="S8" t="s">
        <v>174</v>
      </c>
      <c r="T8" s="183">
        <f>ABS(VLOOKUP(MAX(M55:M142),$M$55:$Q$142,5,0))/100</f>
        <v>1.9029115366392066E-3</v>
      </c>
      <c r="U8" s="183">
        <f>ABS(VLOOKUP(MAX(M55:M142)-1,$M$55:$Q$142,5,0))/100</f>
        <v>4.860529153517852E-4</v>
      </c>
      <c r="V8" s="182"/>
    </row>
    <row r="9" spans="1:22" x14ac:dyDescent="0.25">
      <c r="S9" t="s">
        <v>175</v>
      </c>
      <c r="T9" s="184">
        <f>VLOOKUP(MAX(A4:A9),$A$4:$C$9,3,0)</f>
        <v>128.12108350120184</v>
      </c>
      <c r="U9" s="184">
        <f>VLOOKUP(MAX(A4:A9)-1,$A$4:$C$9,3,0)</f>
        <v>-99.288380980674319</v>
      </c>
      <c r="V9" s="182"/>
    </row>
    <row r="10" spans="1:22" x14ac:dyDescent="0.25">
      <c r="S10" t="s">
        <v>177</v>
      </c>
      <c r="T10" s="183">
        <f>VLOOKUP(MAX(A14:A19),$A$14:$C$19,3,0)/100</f>
        <v>2.928763028914851E-3</v>
      </c>
      <c r="U10" s="183">
        <f>VLOOKUP(MAX(A14:A19)-1,$A$14:$C$19,3,0)/100</f>
        <v>-2.2907347720649311E-3</v>
      </c>
      <c r="V10" s="182"/>
    </row>
    <row r="11" spans="1:22" x14ac:dyDescent="0.25">
      <c r="A11" s="67" t="s">
        <v>67</v>
      </c>
      <c r="B11" t="s">
        <v>204</v>
      </c>
      <c r="S11" t="s">
        <v>194</v>
      </c>
      <c r="T11" s="222">
        <f>VLOOKUP(MAX($G$54:$G$145),$G$54:$J$145,3,0)</f>
        <v>-395.69820464705987</v>
      </c>
      <c r="U11" s="222">
        <f>VLOOKUP(MAX($G$54:$G$145)-1,$G$54:$J$145,3,0)</f>
        <v>-369.55582741610658</v>
      </c>
      <c r="V11" s="182"/>
    </row>
    <row r="12" spans="1:22" x14ac:dyDescent="0.25">
      <c r="S12" t="s">
        <v>183</v>
      </c>
      <c r="T12" s="183">
        <f>(VLOOKUP(MAX(A54:A139),$A$54:$E$139,3,0))/100</f>
        <v>-9.3559577224472789E-3</v>
      </c>
      <c r="U12" s="183">
        <f>(VLOOKUP(MAX(A54:A139)-1,$A$54:$E$139,3,0))/100</f>
        <v>-9.0243527794604157E-3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21133.618790931003</v>
      </c>
      <c r="U13" s="66">
        <f>VLOOKUP(MAX(A24:A29)-1,$A$24:$H$29,2,0)</f>
        <v>17567.486886573002</v>
      </c>
      <c r="V13" s="190">
        <f>(IFERROR(T13/U13-1,0))</f>
        <v>0.20299613299177288</v>
      </c>
    </row>
    <row r="14" spans="1:22" ht="15.75" x14ac:dyDescent="0.25">
      <c r="A14" s="68">
        <v>2021</v>
      </c>
      <c r="B14" s="66">
        <v>-0.54570320120681404</v>
      </c>
      <c r="C14" s="66">
        <v>0.25865388514296134</v>
      </c>
      <c r="S14" t="s">
        <v>84</v>
      </c>
      <c r="T14" s="66">
        <f>VLOOKUP(MAX(A24:A29),$A$24:$H$29,3,0)</f>
        <v>16403.185954588</v>
      </c>
      <c r="U14" s="66">
        <f>VLOOKUP(MAX(A24:A29)-1,$A$24:$H$29,3,0)</f>
        <v>12990.823969333002</v>
      </c>
      <c r="V14" s="189">
        <f>IFERROR(T14/U14-1,0)</f>
        <v>0.26267479209251432</v>
      </c>
    </row>
    <row r="15" spans="1:22" ht="15.75" x14ac:dyDescent="0.25">
      <c r="A15" s="68">
        <v>2022</v>
      </c>
      <c r="B15" s="66">
        <v>-0.32809790458137894</v>
      </c>
      <c r="C15" s="66">
        <v>0.600111612979778</v>
      </c>
      <c r="S15" t="s">
        <v>85</v>
      </c>
      <c r="T15" s="66">
        <f>VLOOKUP(MAX(A24:A29),$A$24:$H$29,4,0)</f>
        <v>1357.1845681079999</v>
      </c>
      <c r="U15" s="66">
        <f>VLOOKUP(MAX(A24:A29)-1,$A$24:$H$29,4,0)</f>
        <v>1537.194186214</v>
      </c>
      <c r="V15" s="189">
        <f t="shared" ref="V15:V32" si="0">IFERROR(T15/U15-1,0)</f>
        <v>-0.1171027185246849</v>
      </c>
    </row>
    <row r="16" spans="1:22" ht="15.75" x14ac:dyDescent="0.25">
      <c r="A16" s="68">
        <v>2023</v>
      </c>
      <c r="B16" s="66">
        <v>-1.111287037007646</v>
      </c>
      <c r="C16" s="66">
        <v>-0.2290734772064931</v>
      </c>
      <c r="S16" t="s">
        <v>86</v>
      </c>
      <c r="T16" s="66">
        <f>VLOOKUP(MAX(A24:A29),$A$24:$H$29,5,0)</f>
        <v>733.72356153700002</v>
      </c>
      <c r="U16" s="66">
        <f>VLOOKUP(MAX(A24:A29)-1,$A$24:$H$29,5,0)</f>
        <v>698.84427814000003</v>
      </c>
      <c r="V16" s="189">
        <f t="shared" si="0"/>
        <v>4.9909950597052166E-2</v>
      </c>
    </row>
    <row r="17" spans="1:22" ht="15.75" x14ac:dyDescent="0.25">
      <c r="A17" s="68">
        <v>2024</v>
      </c>
      <c r="B17" s="66">
        <v>-0.24954332180062033</v>
      </c>
      <c r="C17" s="66">
        <v>0.29287630289148509</v>
      </c>
      <c r="S17" t="s">
        <v>87</v>
      </c>
      <c r="T17" s="66">
        <f>VLOOKUP(MAX(A24:A29),$A$24:$H$29,4,0)</f>
        <v>1357.1845681079999</v>
      </c>
      <c r="U17" s="66">
        <f>VLOOKUP(MAX(A24:A29)-1,$A$24:$H$29,4,0)</f>
        <v>1537.194186214</v>
      </c>
      <c r="V17" s="189">
        <f t="shared" si="0"/>
        <v>-0.1171027185246849</v>
      </c>
    </row>
    <row r="18" spans="1:22" ht="15.75" x14ac:dyDescent="0.25">
      <c r="S18" t="s">
        <v>11</v>
      </c>
      <c r="T18" s="66">
        <f>VLOOKUP(MAX(A24:A29),$A$24:$H$29,5,0)</f>
        <v>733.72356153700002</v>
      </c>
      <c r="U18" s="66">
        <f>VLOOKUP(MAX(A24:A29)-1,$A$24:$H$29,5,0)</f>
        <v>698.84427814000003</v>
      </c>
      <c r="V18" s="189">
        <f t="shared" si="0"/>
        <v>4.9909950597052166E-2</v>
      </c>
    </row>
    <row r="19" spans="1:22" ht="15.75" x14ac:dyDescent="0.25">
      <c r="S19" t="s">
        <v>88</v>
      </c>
      <c r="T19" s="66">
        <f>VLOOKUP(MAX(A24:A29),$A$24:$H$29,6,0)</f>
        <v>2639.524706698</v>
      </c>
      <c r="U19" s="66">
        <f>VLOOKUP(MAX(A24:A29)-1,$A$24:$H$29,6,0)</f>
        <v>2340.6244528859997</v>
      </c>
      <c r="V19" s="189">
        <f t="shared" si="0"/>
        <v>0.1277010728668817</v>
      </c>
    </row>
    <row r="20" spans="1:22" ht="15.75" x14ac:dyDescent="0.25">
      <c r="S20" t="s">
        <v>123</v>
      </c>
      <c r="T20" s="66">
        <f>VLOOKUP(MAX(A34:A39),$A$34:$H$39,2,0)</f>
        <v>20155.335056865002</v>
      </c>
      <c r="U20" s="66">
        <f>VLOOKUP(MAX(A34:A39)-1,$A$34:$H$39,2,0)</f>
        <v>18284.722149028999</v>
      </c>
      <c r="V20" s="190">
        <f t="shared" si="0"/>
        <v>0.10230469419166655</v>
      </c>
    </row>
    <row r="21" spans="1:22" ht="15.75" x14ac:dyDescent="0.25">
      <c r="A21" s="67" t="s">
        <v>67</v>
      </c>
      <c r="B21" t="s">
        <v>204</v>
      </c>
      <c r="S21" t="s">
        <v>89</v>
      </c>
      <c r="T21" s="66">
        <f>VLOOKUP(MAX(A34:A39),$A$34:$H$39,3,0)</f>
        <v>8305.1159375759999</v>
      </c>
      <c r="U21" s="66">
        <f>VLOOKUP(MAX(A34:A39)-1,$A$34:$H$39,3,0)</f>
        <v>7704.0039294879998</v>
      </c>
      <c r="V21" s="189">
        <f t="shared" si="0"/>
        <v>7.8025921792066022E-2</v>
      </c>
    </row>
    <row r="22" spans="1:22" ht="15.75" x14ac:dyDescent="0.25">
      <c r="S22" t="s">
        <v>90</v>
      </c>
      <c r="T22" s="66">
        <f>VLOOKUP(MAX(A34:A39),$A$34:$H$39,4,0)</f>
        <v>2727.2510721969998</v>
      </c>
      <c r="U22" s="66">
        <f>VLOOKUP(MAX(A34:A39)-1,$A$34:$H$39,4,0)</f>
        <v>2239.3597692210001</v>
      </c>
      <c r="V22" s="189">
        <f t="shared" si="0"/>
        <v>0.21787088867177484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2676.4595909740001</v>
      </c>
      <c r="U23" s="66">
        <f>VLOOKUP(MAX(A34:A39)-1,$A$34:$H$39,5,0)</f>
        <v>2149.8435241410002</v>
      </c>
      <c r="V23" s="189">
        <f t="shared" si="0"/>
        <v>0.24495553323743247</v>
      </c>
    </row>
    <row r="24" spans="1:22" ht="15.75" x14ac:dyDescent="0.25">
      <c r="A24" s="68">
        <v>2021</v>
      </c>
      <c r="B24" s="66">
        <v>15010.739373727003</v>
      </c>
      <c r="C24" s="66">
        <v>10649.236384868</v>
      </c>
      <c r="D24" s="66">
        <v>1274.9217395690002</v>
      </c>
      <c r="E24" s="66">
        <v>692.42778380100003</v>
      </c>
      <c r="F24" s="66">
        <v>2394.1534654889997</v>
      </c>
      <c r="S24" t="s">
        <v>11</v>
      </c>
      <c r="T24" s="66">
        <f>VLOOKUP(MAX(A34:A39),$A$34:$H$39,6,0)</f>
        <v>2038.6777957369998</v>
      </c>
      <c r="U24" s="66">
        <f>VLOOKUP(MAX(A34:A39)-1,$A$34:$H$39,6,0)</f>
        <v>1991.2195797000002</v>
      </c>
      <c r="V24" s="189">
        <f t="shared" si="0"/>
        <v>2.3833743159631604E-2</v>
      </c>
    </row>
    <row r="25" spans="1:22" ht="15.75" x14ac:dyDescent="0.25">
      <c r="A25" s="68">
        <v>2022</v>
      </c>
      <c r="B25" s="66">
        <v>17294.715360636001</v>
      </c>
      <c r="C25" s="66">
        <v>12792.728599703001</v>
      </c>
      <c r="D25" s="66">
        <v>1633.9500198199999</v>
      </c>
      <c r="E25" s="66">
        <v>551.63425494699993</v>
      </c>
      <c r="F25" s="66">
        <v>2316.402486166</v>
      </c>
      <c r="S25" t="s">
        <v>91</v>
      </c>
      <c r="T25" s="66">
        <f>VLOOKUP(MAX(A34:A39),$A$34:$H$39,7,0)</f>
        <v>3683.6938850439997</v>
      </c>
      <c r="U25" s="66">
        <f>VLOOKUP(MAX(A34:A39)-1,$A$34:$H$39,7,0)</f>
        <v>3544.6012880999997</v>
      </c>
      <c r="V25" s="189">
        <f t="shared" si="0"/>
        <v>3.9240689047584709E-2</v>
      </c>
    </row>
    <row r="26" spans="1:22" ht="15.75" x14ac:dyDescent="0.25">
      <c r="A26" s="68">
        <v>2023</v>
      </c>
      <c r="B26" s="66">
        <v>17567.486886573002</v>
      </c>
      <c r="C26" s="66">
        <v>12990.823969333002</v>
      </c>
      <c r="D26" s="66">
        <v>1537.194186214</v>
      </c>
      <c r="E26" s="66">
        <v>698.84427814000003</v>
      </c>
      <c r="F26" s="66">
        <v>2340.6244528859997</v>
      </c>
      <c r="I26" s="169"/>
      <c r="S26" t="s">
        <v>39</v>
      </c>
      <c r="T26" s="66">
        <f>VLOOKUP(MAX(A34:A39),$A$34:$H$39,8,0)</f>
        <v>724.13677533700013</v>
      </c>
      <c r="U26" s="66">
        <f>VLOOKUP(MAX(A34:A39)-1,$A$34:$H$39,8,0)</f>
        <v>655.69405837900001</v>
      </c>
      <c r="V26" s="189">
        <f t="shared" si="0"/>
        <v>0.104382091134398</v>
      </c>
    </row>
    <row r="27" spans="1:22" ht="15.75" x14ac:dyDescent="0.25">
      <c r="A27" s="68">
        <v>2024</v>
      </c>
      <c r="B27" s="66">
        <v>21133.618790931003</v>
      </c>
      <c r="C27" s="66">
        <v>16403.185954588</v>
      </c>
      <c r="D27" s="66">
        <v>1357.1845681079999</v>
      </c>
      <c r="E27" s="66">
        <v>733.72356153700002</v>
      </c>
      <c r="F27" s="66">
        <v>2639.524706698</v>
      </c>
      <c r="S27" t="s">
        <v>124</v>
      </c>
      <c r="T27" s="66">
        <f>VLOOKUP(MAX(A44:A49),$A$44:$F$49,2,0)</f>
        <v>1811.8239360290002</v>
      </c>
      <c r="U27" s="66">
        <f>VLOOKUP(MAX(A44:A49)-1,$A$44:$F$49,2,0)</f>
        <v>2762.2345538319996</v>
      </c>
      <c r="V27" s="190">
        <f t="shared" si="0"/>
        <v>-0.3440731043221914</v>
      </c>
    </row>
    <row r="28" spans="1:22" ht="15.75" x14ac:dyDescent="0.25">
      <c r="S28" t="s">
        <v>125</v>
      </c>
      <c r="T28" s="66">
        <f>VLOOKUP(MAX(A44:A49),$A$44:$F$49,3,0)</f>
        <v>244.94872211948521</v>
      </c>
      <c r="U28" s="65">
        <f>VLOOKUP(MAX(A44:A49)-1,$A$44:$F$49,3,0)</f>
        <v>382.12082792840636</v>
      </c>
      <c r="V28" s="189">
        <f t="shared" si="0"/>
        <v>-0.35897573694837048</v>
      </c>
    </row>
    <row r="29" spans="1:22" ht="15.75" x14ac:dyDescent="0.25">
      <c r="S29" t="s">
        <v>126</v>
      </c>
      <c r="T29" s="183">
        <f>VLOOKUP(MAX(A44:A49),$A$44:$F$49,4,0)/100</f>
        <v>5.4241962469210548E-3</v>
      </c>
      <c r="U29" s="183">
        <f>VLOOKUP(MAX(A44:A49)-1,$A$44:$F$49,4,0)/100</f>
        <v>8.8221355980115275E-3</v>
      </c>
      <c r="V29" s="189">
        <f t="shared" si="0"/>
        <v>-0.38516063523851907</v>
      </c>
    </row>
    <row r="30" spans="1:22" ht="15.75" x14ac:dyDescent="0.25">
      <c r="S30" t="s">
        <v>127</v>
      </c>
      <c r="T30" s="183">
        <f>ABS(VLOOKUP(MAX(A54:A130),$A$54:$E$130,4,0))/100</f>
        <v>2.2997346559788065E-2</v>
      </c>
      <c r="U30" s="183">
        <f>ABS(VLOOKUP(MAX(A54:A139)-1,$A$54:$E$139,4,0))/100</f>
        <v>2.8143775450239973E-2</v>
      </c>
      <c r="V30" s="189">
        <f t="shared" si="0"/>
        <v>-0.18286206481255973</v>
      </c>
    </row>
    <row r="31" spans="1:22" ht="15.75" x14ac:dyDescent="0.25">
      <c r="A31" s="67" t="s">
        <v>67</v>
      </c>
      <c r="B31" t="s">
        <v>204</v>
      </c>
      <c r="S31" t="s">
        <v>128</v>
      </c>
      <c r="T31" s="66">
        <f>VLOOKUP(MAX(A44:A49),$A$44:$F$49,5,0)</f>
        <v>183.37815266598221</v>
      </c>
      <c r="U31" s="65">
        <f>VLOOKUP(MAX(A44:A49)-1,$A$44:$F$49,5,0)</f>
        <v>322.43120826242779</v>
      </c>
      <c r="V31" s="189">
        <f t="shared" si="0"/>
        <v>-0.43126425740795493</v>
      </c>
    </row>
    <row r="32" spans="1:22" ht="15.75" x14ac:dyDescent="0.25">
      <c r="S32" t="s">
        <v>129</v>
      </c>
      <c r="T32" s="193">
        <f>VLOOKUP(MAX(A44:A49),$A$44:$F$49,6,0)</f>
        <v>61.570569453503026</v>
      </c>
      <c r="U32" s="66">
        <f>VLOOKUP(MAX(A44:A49)-1,$A$44:$F$49,6,0)</f>
        <v>59.689619665978555</v>
      </c>
      <c r="V32" s="189">
        <f t="shared" si="0"/>
        <v>3.1512175786178709E-2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0.74863894401756026</v>
      </c>
      <c r="U33" s="185">
        <f>+U31/U28</f>
        <v>0.84379385968157183</v>
      </c>
      <c r="V33" s="191"/>
    </row>
    <row r="34" spans="1:22" x14ac:dyDescent="0.25">
      <c r="A34" s="68">
        <v>2021</v>
      </c>
      <c r="B34" s="66">
        <v>14310.734286700999</v>
      </c>
      <c r="C34" s="66">
        <v>6694.2829363950004</v>
      </c>
      <c r="D34" s="66">
        <v>1462.1122894100001</v>
      </c>
      <c r="E34" s="66">
        <v>1349.6655957310002</v>
      </c>
      <c r="F34" s="66">
        <v>1748.9246798069998</v>
      </c>
      <c r="G34" s="66">
        <v>2557.7724757370001</v>
      </c>
      <c r="H34" s="66">
        <v>497.97630962099998</v>
      </c>
      <c r="S34" t="s">
        <v>131</v>
      </c>
      <c r="T34" s="185">
        <f>+T32/T28</f>
        <v>0.25136105598243985</v>
      </c>
      <c r="U34" s="185">
        <f>+U32/U28</f>
        <v>0.15620614031842808</v>
      </c>
      <c r="V34" s="191"/>
    </row>
    <row r="35" spans="1:22" x14ac:dyDescent="0.25">
      <c r="A35" s="68">
        <v>2022</v>
      </c>
      <c r="B35" s="66">
        <v>15536.707660107999</v>
      </c>
      <c r="C35" s="66">
        <v>7167.0706133749991</v>
      </c>
      <c r="D35" s="66">
        <v>1598.957792591</v>
      </c>
      <c r="E35" s="66">
        <v>1527.6824882289998</v>
      </c>
      <c r="F35" s="66">
        <v>1698.9164738659999</v>
      </c>
      <c r="G35" s="66">
        <v>2920.2034099300004</v>
      </c>
      <c r="H35" s="66">
        <v>623.87688211700004</v>
      </c>
    </row>
    <row r="36" spans="1:22" x14ac:dyDescent="0.25">
      <c r="A36" s="68">
        <v>2023</v>
      </c>
      <c r="B36" s="66">
        <v>18284.722149028999</v>
      </c>
      <c r="C36" s="66">
        <v>7704.0039294879998</v>
      </c>
      <c r="D36" s="66">
        <v>2239.3597692210001</v>
      </c>
      <c r="E36" s="66">
        <v>2149.8435241410002</v>
      </c>
      <c r="F36" s="66">
        <v>1991.2195797000002</v>
      </c>
      <c r="G36" s="66">
        <v>3544.6012880999997</v>
      </c>
      <c r="H36" s="66">
        <v>655.69405837900001</v>
      </c>
    </row>
    <row r="37" spans="1:22" ht="15.75" x14ac:dyDescent="0.25">
      <c r="A37" s="68">
        <v>2024</v>
      </c>
      <c r="B37" s="66">
        <v>20155.335056865002</v>
      </c>
      <c r="C37" s="66">
        <v>8305.1159375759999</v>
      </c>
      <c r="D37" s="66">
        <v>2727.2510721969998</v>
      </c>
      <c r="E37" s="66">
        <v>2676.4595909740001</v>
      </c>
      <c r="F37" s="66">
        <v>2038.6777957369998</v>
      </c>
      <c r="G37" s="66">
        <v>3683.6938850439997</v>
      </c>
      <c r="H37" s="66">
        <v>724.13677533700013</v>
      </c>
      <c r="S37" t="s">
        <v>202</v>
      </c>
      <c r="T37" s="227">
        <f>VLOOKUP(MAX(F140:F200),$F$140:$H$200,3,0)</f>
        <v>7314.0249025189996</v>
      </c>
      <c r="U37" s="227">
        <f>VLOOKUP(MAX(F140:F200)-1,$F$140:$H$200,3,0)</f>
        <v>8422.4469063949728</v>
      </c>
      <c r="V37" s="189">
        <f>T37/U37-1</f>
        <v>-0.13160332338033187</v>
      </c>
    </row>
    <row r="38" spans="1:22" ht="15.75" x14ac:dyDescent="0.25">
      <c r="S38" t="s">
        <v>203</v>
      </c>
      <c r="T38" s="222">
        <f>T37*1000/Aux!$I$24</f>
        <v>1220.0208344485404</v>
      </c>
      <c r="U38" s="222">
        <f>U37*1000/Aux!$I$24</f>
        <v>1404.9119109916553</v>
      </c>
      <c r="V38" s="190">
        <f>T38/U38-1</f>
        <v>-0.13160332338033187</v>
      </c>
    </row>
    <row r="39" spans="1:22" ht="15.75" x14ac:dyDescent="0.25">
      <c r="S39" t="s">
        <v>206</v>
      </c>
      <c r="T39" s="222">
        <f>VLOOKUP(MAX(A140:A179),$A$140:$C$179,3,0)</f>
        <v>772.22421927966661</v>
      </c>
      <c r="U39" s="222">
        <f>VLOOKUP(MAX(A140:A179)-1,$A$140:$C$179,3,0)</f>
        <v>836.56633832215175</v>
      </c>
      <c r="V39" s="190">
        <f t="shared" ref="V39" si="1">IFERROR(T39/U39-1,0)</f>
        <v>-7.6912153997890975E-2</v>
      </c>
    </row>
    <row r="41" spans="1:22" x14ac:dyDescent="0.25">
      <c r="A41" s="67" t="s">
        <v>67</v>
      </c>
      <c r="B41" t="s">
        <v>204</v>
      </c>
      <c r="T41" s="226">
        <f>T38-T39</f>
        <v>447.79661516887381</v>
      </c>
      <c r="U41" s="226">
        <f>U38-U39</f>
        <v>568.34557266950355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0.63295986222130252</v>
      </c>
    </row>
    <row r="44" spans="1:22" x14ac:dyDescent="0.25">
      <c r="A44" s="68">
        <v>2021</v>
      </c>
      <c r="B44" s="66">
        <v>2176.8629221209999</v>
      </c>
      <c r="C44" s="65">
        <v>328.92197804273553</v>
      </c>
      <c r="D44" s="66">
        <v>0.80435708634977532</v>
      </c>
      <c r="E44" s="65">
        <v>266.75289829110818</v>
      </c>
      <c r="F44" s="65">
        <v>62.169079751627358</v>
      </c>
      <c r="T44" s="70">
        <f>T41/T38</f>
        <v>0.36704013777869754</v>
      </c>
    </row>
    <row r="45" spans="1:22" x14ac:dyDescent="0.25">
      <c r="A45" s="68">
        <v>2022</v>
      </c>
      <c r="B45" s="66">
        <v>2719.1599767139996</v>
      </c>
      <c r="C45" s="65">
        <v>392.90649691769022</v>
      </c>
      <c r="D45" s="66">
        <v>0.92820951756115699</v>
      </c>
      <c r="E45" s="65">
        <v>315.52546459229058</v>
      </c>
      <c r="F45" s="65">
        <v>77.38103232539963</v>
      </c>
    </row>
    <row r="46" spans="1:22" x14ac:dyDescent="0.25">
      <c r="A46" s="68">
        <v>2023</v>
      </c>
      <c r="B46" s="66">
        <v>2762.2345538319996</v>
      </c>
      <c r="C46" s="65">
        <v>382.12082792840636</v>
      </c>
      <c r="D46" s="66">
        <v>0.88221355980115279</v>
      </c>
      <c r="E46" s="65">
        <v>322.43120826242779</v>
      </c>
      <c r="F46" s="65">
        <v>59.689619665978555</v>
      </c>
      <c r="I46" s="169"/>
    </row>
    <row r="47" spans="1:22" x14ac:dyDescent="0.25">
      <c r="A47" s="68">
        <v>2024</v>
      </c>
      <c r="B47" s="66">
        <v>1811.8239360290002</v>
      </c>
      <c r="C47" s="65">
        <v>244.94872211948521</v>
      </c>
      <c r="D47" s="66">
        <v>0.54241962469210547</v>
      </c>
      <c r="E47" s="65">
        <v>183.37815266598221</v>
      </c>
      <c r="F47" s="65">
        <v>61.570569453503026</v>
      </c>
      <c r="J47" s="169"/>
    </row>
    <row r="51" spans="1:17" x14ac:dyDescent="0.25">
      <c r="A51" s="67" t="s">
        <v>67</v>
      </c>
      <c r="B51" t="s">
        <v>204</v>
      </c>
      <c r="G51" s="67" t="s">
        <v>67</v>
      </c>
      <c r="H51" t="s">
        <v>204</v>
      </c>
    </row>
    <row r="52" spans="1:17" x14ac:dyDescent="0.25">
      <c r="M52" s="67" t="s">
        <v>67</v>
      </c>
      <c r="N52" t="s">
        <v>204</v>
      </c>
    </row>
    <row r="53" spans="1:17" ht="60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5</v>
      </c>
      <c r="C54" s="66">
        <v>-1.1323181563350462</v>
      </c>
      <c r="D54" s="66">
        <v>3.2825424134534669</v>
      </c>
      <c r="E54" s="66">
        <v>-4.4148605697885133</v>
      </c>
      <c r="G54">
        <v>2021</v>
      </c>
      <c r="H54" s="69">
        <v>5</v>
      </c>
      <c r="I54" s="66">
        <v>-381.82423380740869</v>
      </c>
      <c r="J54" s="66">
        <v>-1568.2411732513372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4</v>
      </c>
      <c r="C55" s="66">
        <v>-1.5190317340745823</v>
      </c>
      <c r="D55" s="66">
        <v>3.3394695921484243</v>
      </c>
      <c r="E55" s="66">
        <v>-4.8585013262230063</v>
      </c>
      <c r="G55">
        <v>2021</v>
      </c>
      <c r="H55" s="69">
        <v>4</v>
      </c>
      <c r="I55" s="66">
        <v>-526.87735616174552</v>
      </c>
      <c r="J55" s="66">
        <v>-1727.6071330393333</v>
      </c>
      <c r="M55">
        <v>2021</v>
      </c>
      <c r="N55" s="69">
        <v>5</v>
      </c>
      <c r="O55" s="66">
        <v>0.10971609088774859</v>
      </c>
      <c r="P55" s="66">
        <v>0.16527921650776339</v>
      </c>
      <c r="Q55" s="66">
        <v>-5.5563125620014822E-2</v>
      </c>
    </row>
    <row r="56" spans="1:17" x14ac:dyDescent="0.25">
      <c r="A56">
        <v>2021</v>
      </c>
      <c r="B56" s="69">
        <v>3</v>
      </c>
      <c r="C56" s="66">
        <v>-2.2757067387487586</v>
      </c>
      <c r="D56" s="66">
        <v>3.388681978254926</v>
      </c>
      <c r="E56" s="66">
        <v>-5.6643887170036837</v>
      </c>
      <c r="G56">
        <v>2021</v>
      </c>
      <c r="H56" s="69">
        <v>3</v>
      </c>
      <c r="I56" s="66">
        <v>-807.53736374598134</v>
      </c>
      <c r="J56" s="66">
        <v>-2015.0648164228842</v>
      </c>
      <c r="M56">
        <v>2021</v>
      </c>
      <c r="N56" s="69">
        <v>4</v>
      </c>
      <c r="O56" s="66">
        <v>3.3717609715727154E-2</v>
      </c>
      <c r="P56" s="66">
        <v>0.21139847352624791</v>
      </c>
      <c r="Q56" s="66">
        <v>-0.17768086381052078</v>
      </c>
    </row>
    <row r="57" spans="1:17" x14ac:dyDescent="0.25">
      <c r="A57">
        <v>2021</v>
      </c>
      <c r="B57" s="69">
        <v>2</v>
      </c>
      <c r="C57" s="66">
        <v>-2.2796600260864821</v>
      </c>
      <c r="D57" s="66">
        <v>3.6387685894982349</v>
      </c>
      <c r="E57" s="66">
        <v>-5.918428615584717</v>
      </c>
      <c r="G57">
        <v>2021</v>
      </c>
      <c r="H57" s="69">
        <v>2</v>
      </c>
      <c r="I57" s="66">
        <v>-799.02795861134098</v>
      </c>
      <c r="J57" s="66">
        <v>-2087.8332894796749</v>
      </c>
      <c r="M57">
        <v>2021</v>
      </c>
      <c r="N57" s="69">
        <v>3</v>
      </c>
      <c r="O57" s="66">
        <v>-0.20296140640904467</v>
      </c>
      <c r="P57" s="66">
        <v>0.20299257096425588</v>
      </c>
      <c r="Q57" s="66">
        <v>-0.40595397737330058</v>
      </c>
    </row>
    <row r="58" spans="1:17" x14ac:dyDescent="0.25">
      <c r="A58">
        <v>2021</v>
      </c>
      <c r="B58" s="69">
        <v>1</v>
      </c>
      <c r="C58" s="66">
        <v>-2.2452141807758346</v>
      </c>
      <c r="D58" s="66">
        <v>3.6813365822153297</v>
      </c>
      <c r="E58" s="66">
        <v>-5.9265507629911642</v>
      </c>
      <c r="G58">
        <v>2021</v>
      </c>
      <c r="H58" s="69">
        <v>1</v>
      </c>
      <c r="I58" s="66">
        <v>-786.51124431854475</v>
      </c>
      <c r="J58" s="66">
        <v>-2087.6874145614274</v>
      </c>
      <c r="M58">
        <v>2021</v>
      </c>
      <c r="N58" s="69">
        <v>2</v>
      </c>
      <c r="O58" s="66">
        <v>4.4847703412539989E-3</v>
      </c>
      <c r="P58" s="66">
        <v>9.4917217302481857E-2</v>
      </c>
      <c r="Q58" s="66">
        <v>-9.0432446961227861E-2</v>
      </c>
    </row>
    <row r="59" spans="1:17" x14ac:dyDescent="0.25">
      <c r="A59">
        <v>2022</v>
      </c>
      <c r="B59" s="69">
        <v>5</v>
      </c>
      <c r="C59" s="66">
        <v>-0.37883976814855425</v>
      </c>
      <c r="D59" s="66">
        <v>3.0345007580169532</v>
      </c>
      <c r="E59" s="66">
        <v>-3.4133405261655079</v>
      </c>
      <c r="G59">
        <v>2022</v>
      </c>
      <c r="H59" s="69">
        <v>5</v>
      </c>
      <c r="I59" s="66">
        <v>-130.79255028950266</v>
      </c>
      <c r="J59" s="66">
        <v>-1355.9750663708678</v>
      </c>
      <c r="M59">
        <v>2021</v>
      </c>
      <c r="N59" s="69">
        <v>1</v>
      </c>
      <c r="O59" s="66">
        <v>0.31369682060727627</v>
      </c>
      <c r="P59" s="66">
        <v>0.12976960804902637</v>
      </c>
      <c r="Q59" s="66">
        <v>0.18392721255824993</v>
      </c>
    </row>
    <row r="60" spans="1:17" x14ac:dyDescent="0.25">
      <c r="A60">
        <v>2022</v>
      </c>
      <c r="B60" s="69">
        <v>4</v>
      </c>
      <c r="C60" s="66">
        <v>-0.6250164517986545</v>
      </c>
      <c r="D60" s="66">
        <v>3.047477203276892</v>
      </c>
      <c r="E60" s="66">
        <v>-3.6724936550755474</v>
      </c>
      <c r="G60">
        <v>2022</v>
      </c>
      <c r="H60" s="69">
        <v>4</v>
      </c>
      <c r="I60" s="66">
        <v>-238.72818434647192</v>
      </c>
      <c r="J60" s="66">
        <v>-1465.3922928739375</v>
      </c>
      <c r="M60">
        <v>2022</v>
      </c>
      <c r="N60" s="69">
        <v>5</v>
      </c>
      <c r="O60" s="66">
        <v>0.35589277453784884</v>
      </c>
      <c r="P60" s="66">
        <v>0.15230277124782468</v>
      </c>
      <c r="Q60" s="66">
        <v>0.20359000329002422</v>
      </c>
    </row>
    <row r="61" spans="1:17" x14ac:dyDescent="0.25">
      <c r="A61">
        <v>2022</v>
      </c>
      <c r="B61" s="69">
        <v>3</v>
      </c>
      <c r="C61" s="66">
        <v>-0.85026253902021987</v>
      </c>
      <c r="D61" s="66">
        <v>3.0419265904024613</v>
      </c>
      <c r="E61" s="66">
        <v>-3.892189129422682</v>
      </c>
      <c r="G61">
        <v>2022</v>
      </c>
      <c r="H61" s="69">
        <v>3</v>
      </c>
      <c r="I61" s="66">
        <v>-335.21103551015653</v>
      </c>
      <c r="J61" s="66">
        <v>-1558.3642810772137</v>
      </c>
      <c r="M61">
        <v>2022</v>
      </c>
      <c r="N61" s="69">
        <v>4</v>
      </c>
      <c r="O61" s="66">
        <v>0.25896369693729232</v>
      </c>
      <c r="P61" s="66">
        <v>0.21694908640067806</v>
      </c>
      <c r="Q61" s="66">
        <v>4.2014610536614254E-2</v>
      </c>
    </row>
    <row r="62" spans="1:17" x14ac:dyDescent="0.25">
      <c r="A62">
        <v>2022</v>
      </c>
      <c r="B62" s="69">
        <v>2</v>
      </c>
      <c r="C62" s="66">
        <v>-0.83436511810483194</v>
      </c>
      <c r="D62" s="66">
        <v>2.9777341716657286</v>
      </c>
      <c r="E62" s="66">
        <v>-3.8120992897705612</v>
      </c>
      <c r="G62">
        <v>2022</v>
      </c>
      <c r="H62" s="69">
        <v>2</v>
      </c>
      <c r="I62" s="66">
        <v>-327.12354264265701</v>
      </c>
      <c r="J62" s="66">
        <v>-1521.8702839373198</v>
      </c>
      <c r="M62">
        <v>2022</v>
      </c>
      <c r="N62" s="69">
        <v>3</v>
      </c>
      <c r="O62" s="66">
        <v>-0.21885882732443246</v>
      </c>
      <c r="P62" s="66">
        <v>0.26718498970098908</v>
      </c>
      <c r="Q62" s="66">
        <v>-0.4860438170254216</v>
      </c>
    </row>
    <row r="63" spans="1:17" x14ac:dyDescent="0.25">
      <c r="A63">
        <v>2022</v>
      </c>
      <c r="B63" s="69">
        <v>1</v>
      </c>
      <c r="C63" s="66">
        <v>-0.86763090916914043</v>
      </c>
      <c r="D63" s="66">
        <v>2.8322228675670016</v>
      </c>
      <c r="E63" s="66">
        <v>-3.699853776736143</v>
      </c>
      <c r="G63">
        <v>2022</v>
      </c>
      <c r="H63" s="69">
        <v>1</v>
      </c>
      <c r="I63" s="66">
        <v>-341.19344402078883</v>
      </c>
      <c r="J63" s="66">
        <v>-1473.0410415566998</v>
      </c>
      <c r="M63">
        <v>2022</v>
      </c>
      <c r="N63" s="69">
        <v>2</v>
      </c>
      <c r="O63" s="66">
        <v>3.7750561405562565E-2</v>
      </c>
      <c r="P63" s="66">
        <v>0.24042852140120863</v>
      </c>
      <c r="Q63" s="66">
        <v>-0.20267795999564603</v>
      </c>
    </row>
    <row r="64" spans="1:17" x14ac:dyDescent="0.25">
      <c r="A64">
        <v>2023</v>
      </c>
      <c r="B64" s="69">
        <v>5</v>
      </c>
      <c r="C64" s="66">
        <v>-0.90243527794604161</v>
      </c>
      <c r="D64" s="66">
        <v>2.8143775450239974</v>
      </c>
      <c r="E64" s="66">
        <v>-3.7168128229700392</v>
      </c>
      <c r="G64">
        <v>2023</v>
      </c>
      <c r="H64" s="69">
        <v>5</v>
      </c>
      <c r="I64" s="66">
        <v>-369.55582741610658</v>
      </c>
      <c r="J64" s="66">
        <v>-1553.8752427743996</v>
      </c>
      <c r="M64">
        <v>2022</v>
      </c>
      <c r="N64" s="69">
        <v>1</v>
      </c>
      <c r="O64" s="66">
        <v>0.16636340742350667</v>
      </c>
      <c r="P64" s="66">
        <v>5.1344148810456444E-2</v>
      </c>
      <c r="Q64" s="66">
        <v>0.11501925861305022</v>
      </c>
    </row>
    <row r="65" spans="1:17" x14ac:dyDescent="0.25">
      <c r="A65">
        <v>2023</v>
      </c>
      <c r="B65" s="69">
        <v>4</v>
      </c>
      <c r="C65" s="66">
        <v>-0.71129848489826808</v>
      </c>
      <c r="D65" s="66">
        <v>2.8505296263169253</v>
      </c>
      <c r="E65" s="66">
        <v>-3.5618281112151933</v>
      </c>
      <c r="G65">
        <v>2023</v>
      </c>
      <c r="H65" s="69">
        <v>4</v>
      </c>
      <c r="I65" s="66">
        <v>-288.98710879564743</v>
      </c>
      <c r="J65" s="66">
        <v>-1487.9577678089936</v>
      </c>
      <c r="M65">
        <v>2023</v>
      </c>
      <c r="N65" s="69">
        <v>5</v>
      </c>
      <c r="O65" s="66">
        <v>0.16475598149007517</v>
      </c>
      <c r="P65" s="66">
        <v>0.11615068995489666</v>
      </c>
      <c r="Q65" s="66">
        <v>4.8605291535178521E-2</v>
      </c>
    </row>
    <row r="66" spans="1:17" x14ac:dyDescent="0.25">
      <c r="A66">
        <v>2023</v>
      </c>
      <c r="B66" s="69">
        <v>3</v>
      </c>
      <c r="C66" s="66">
        <v>-0.41107793964732087</v>
      </c>
      <c r="D66" s="66">
        <v>2.7842138038870639</v>
      </c>
      <c r="E66" s="66">
        <v>-3.1952917435343848</v>
      </c>
      <c r="G66">
        <v>2023</v>
      </c>
      <c r="H66" s="69">
        <v>3</v>
      </c>
      <c r="I66" s="66">
        <v>-160.26152992475892</v>
      </c>
      <c r="J66" s="66">
        <v>-1328.3411021864779</v>
      </c>
      <c r="M66">
        <v>2023</v>
      </c>
      <c r="N66" s="69">
        <v>4</v>
      </c>
      <c r="O66" s="66">
        <v>-4.1256848313654705E-2</v>
      </c>
      <c r="P66" s="66">
        <v>0.28326490883053945</v>
      </c>
      <c r="Q66" s="66">
        <v>-0.32452175714419412</v>
      </c>
    </row>
    <row r="67" spans="1:17" x14ac:dyDescent="0.25">
      <c r="A67">
        <v>2023</v>
      </c>
      <c r="B67" s="69">
        <v>2</v>
      </c>
      <c r="C67" s="66">
        <v>-0.41588356695239592</v>
      </c>
      <c r="D67" s="66">
        <v>2.8546926673980866</v>
      </c>
      <c r="E67" s="66">
        <v>-3.2705762343504827</v>
      </c>
      <c r="G67">
        <v>2023</v>
      </c>
      <c r="H67" s="69">
        <v>2</v>
      </c>
      <c r="I67" s="66">
        <v>-159.05804132190755</v>
      </c>
      <c r="J67" s="66">
        <v>-1353.8257223770315</v>
      </c>
      <c r="M67">
        <v>2023</v>
      </c>
      <c r="N67" s="69">
        <v>3</v>
      </c>
      <c r="O67" s="66">
        <v>-0.21405320001935754</v>
      </c>
      <c r="P67" s="66">
        <v>0.19670612618996622</v>
      </c>
      <c r="Q67" s="66">
        <v>-0.41075932620932376</v>
      </c>
    </row>
    <row r="68" spans="1:17" x14ac:dyDescent="0.25">
      <c r="A68">
        <v>2023</v>
      </c>
      <c r="B68" s="69">
        <v>1</v>
      </c>
      <c r="C68" s="66">
        <v>-0.22042196372655512</v>
      </c>
      <c r="D68" s="66">
        <v>2.9240989915146436</v>
      </c>
      <c r="E68" s="66">
        <v>-3.1445209552411986</v>
      </c>
      <c r="G68">
        <v>2023</v>
      </c>
      <c r="H68" s="69">
        <v>1</v>
      </c>
      <c r="I68" s="66">
        <v>-75.465664395214375</v>
      </c>
      <c r="J68" s="66">
        <v>-1297.9078327220973</v>
      </c>
      <c r="M68">
        <v>2023</v>
      </c>
      <c r="N68" s="69">
        <v>2</v>
      </c>
      <c r="O68" s="66">
        <v>-0.15771104182027826</v>
      </c>
      <c r="P68" s="66">
        <v>0.17102219728465204</v>
      </c>
      <c r="Q68" s="66">
        <v>-0.3287332391049303</v>
      </c>
    </row>
    <row r="69" spans="1:17" x14ac:dyDescent="0.25">
      <c r="A69">
        <v>2024</v>
      </c>
      <c r="B69" s="69">
        <v>5</v>
      </c>
      <c r="C69" s="66">
        <v>-0.9355957722447279</v>
      </c>
      <c r="D69" s="66">
        <v>2.2997346559788063</v>
      </c>
      <c r="E69" s="66">
        <v>-3.2353304282235347</v>
      </c>
      <c r="G69">
        <v>2024</v>
      </c>
      <c r="H69" s="69">
        <v>5</v>
      </c>
      <c r="I69" s="66">
        <v>-395.69820464705987</v>
      </c>
      <c r="J69" s="66">
        <v>-1390.2606608575443</v>
      </c>
      <c r="M69">
        <v>2023</v>
      </c>
      <c r="N69" s="69">
        <v>1</v>
      </c>
      <c r="O69" s="66">
        <v>1.9191631456722234E-2</v>
      </c>
      <c r="P69" s="66">
        <v>0.11506963754109845</v>
      </c>
      <c r="Q69" s="66">
        <v>-9.5878006084376216E-2</v>
      </c>
    </row>
    <row r="70" spans="1:17" x14ac:dyDescent="0.25">
      <c r="A70">
        <v>2024</v>
      </c>
      <c r="B70" s="69">
        <v>4</v>
      </c>
      <c r="C70" s="66">
        <v>-1.1132404271093705</v>
      </c>
      <c r="D70" s="66">
        <v>2.2637758632429064</v>
      </c>
      <c r="E70" s="66">
        <v>-3.3770162903522767</v>
      </c>
      <c r="G70">
        <v>2024</v>
      </c>
      <c r="H70" s="69">
        <v>4</v>
      </c>
      <c r="I70" s="66">
        <v>-476.3871400632197</v>
      </c>
      <c r="J70" s="66">
        <v>-1453.7653154781431</v>
      </c>
      <c r="M70">
        <v>2024</v>
      </c>
      <c r="N70" s="69">
        <v>5</v>
      </c>
      <c r="O70" s="66">
        <v>0.3424006363547174</v>
      </c>
      <c r="P70" s="66">
        <v>0.15210948269079677</v>
      </c>
      <c r="Q70" s="66">
        <v>0.19029115366392066</v>
      </c>
    </row>
    <row r="71" spans="1:17" x14ac:dyDescent="0.25">
      <c r="A71">
        <v>2024</v>
      </c>
      <c r="B71" s="69">
        <v>3</v>
      </c>
      <c r="C71" s="66">
        <v>-1.4908779758603998</v>
      </c>
      <c r="D71" s="66">
        <v>2.3635402626274096</v>
      </c>
      <c r="E71" s="66">
        <v>-3.8544182384878094</v>
      </c>
      <c r="G71">
        <v>2024</v>
      </c>
      <c r="H71" s="69">
        <v>3</v>
      </c>
      <c r="I71" s="66">
        <v>-646.12271358222824</v>
      </c>
      <c r="J71" s="66">
        <v>-1664.3768342984815</v>
      </c>
      <c r="M71">
        <v>2024</v>
      </c>
      <c r="N71" s="69">
        <v>4</v>
      </c>
      <c r="O71" s="66">
        <v>0.33638070043737461</v>
      </c>
      <c r="P71" s="66">
        <v>0.1835005094460358</v>
      </c>
      <c r="Q71" s="66">
        <v>0.15288019099133884</v>
      </c>
    </row>
    <row r="72" spans="1:17" x14ac:dyDescent="0.25">
      <c r="A72">
        <v>2024</v>
      </c>
      <c r="B72" s="69">
        <v>2</v>
      </c>
      <c r="C72" s="66">
        <v>-1.1960544411337395</v>
      </c>
      <c r="D72" s="66">
        <v>2.4198583700800231</v>
      </c>
      <c r="E72" s="66">
        <v>-3.6159128112137626</v>
      </c>
      <c r="G72">
        <v>2024</v>
      </c>
      <c r="H72" s="69">
        <v>2</v>
      </c>
      <c r="I72" s="66">
        <v>-507.11785938269333</v>
      </c>
      <c r="J72" s="66">
        <v>-1547.0116491995877</v>
      </c>
      <c r="M72">
        <v>2024</v>
      </c>
      <c r="N72" s="69">
        <v>3</v>
      </c>
      <c r="O72" s="66">
        <v>-0.50887673474601791</v>
      </c>
      <c r="P72" s="66">
        <v>0.14038801873735282</v>
      </c>
      <c r="Q72" s="66">
        <v>-0.64926475348337076</v>
      </c>
    </row>
    <row r="73" spans="1:17" x14ac:dyDescent="0.25">
      <c r="A73">
        <v>2024</v>
      </c>
      <c r="B73" s="69">
        <v>1</v>
      </c>
      <c r="C73" s="66">
        <v>-1.1766453092337446</v>
      </c>
      <c r="D73" s="66">
        <v>2.5355484487944859</v>
      </c>
      <c r="E73" s="66">
        <v>-3.7121937580282305</v>
      </c>
      <c r="G73">
        <v>2024</v>
      </c>
      <c r="H73" s="69">
        <v>1</v>
      </c>
      <c r="I73" s="66">
        <v>-493.62378270876468</v>
      </c>
      <c r="J73" s="66">
        <v>-1581.5799322938935</v>
      </c>
      <c r="M73">
        <v>2024</v>
      </c>
      <c r="N73" s="69">
        <v>2</v>
      </c>
      <c r="O73" s="66">
        <v>-0.17712017372027311</v>
      </c>
      <c r="P73" s="66">
        <v>5.5332118570189152E-2</v>
      </c>
      <c r="Q73" s="66">
        <v>-0.23245229229046227</v>
      </c>
    </row>
    <row r="74" spans="1:17" x14ac:dyDescent="0.25">
      <c r="M74">
        <v>2024</v>
      </c>
      <c r="N74" s="69">
        <v>1</v>
      </c>
      <c r="O74" s="66">
        <v>0.30009187456568404</v>
      </c>
      <c r="P74" s="66">
        <v>1.1089495247730945E-2</v>
      </c>
      <c r="Q74" s="66">
        <v>0.28900237931795314</v>
      </c>
    </row>
    <row r="137" spans="1:22" x14ac:dyDescent="0.25">
      <c r="A137" s="67" t="s">
        <v>67</v>
      </c>
      <c r="B137" t="s">
        <v>204</v>
      </c>
      <c r="F137" s="67" t="s">
        <v>67</v>
      </c>
      <c r="G137" t="s">
        <v>204</v>
      </c>
    </row>
    <row r="139" spans="1:22" x14ac:dyDescent="0.25">
      <c r="A139" s="67" t="s">
        <v>68</v>
      </c>
      <c r="B139" s="67" t="s">
        <v>95</v>
      </c>
      <c r="C139" t="s">
        <v>205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5</v>
      </c>
      <c r="C140" s="66">
        <v>936.44726461840617</v>
      </c>
      <c r="F140">
        <v>2021</v>
      </c>
      <c r="G140" s="69">
        <v>5</v>
      </c>
      <c r="H140" s="66">
        <v>8122.3945286485978</v>
      </c>
    </row>
    <row r="141" spans="1:22" x14ac:dyDescent="0.25">
      <c r="A141">
        <v>2021</v>
      </c>
      <c r="B141" s="69">
        <v>4</v>
      </c>
      <c r="C141" s="66">
        <v>958.70660515170403</v>
      </c>
      <c r="F141">
        <v>2021</v>
      </c>
      <c r="G141" s="69">
        <v>4</v>
      </c>
      <c r="H141" s="66">
        <v>8208.1988158235963</v>
      </c>
    </row>
    <row r="142" spans="1:22" x14ac:dyDescent="0.25">
      <c r="A142">
        <v>2021</v>
      </c>
      <c r="B142" s="69">
        <v>3</v>
      </c>
      <c r="C142" s="66">
        <v>974.82052520880688</v>
      </c>
      <c r="F142">
        <v>2021</v>
      </c>
      <c r="G142" s="69">
        <v>3</v>
      </c>
      <c r="H142" s="66">
        <v>8261.3267275145972</v>
      </c>
    </row>
    <row r="143" spans="1:22" x14ac:dyDescent="0.25">
      <c r="A143">
        <v>2021</v>
      </c>
      <c r="B143" s="69">
        <v>2</v>
      </c>
      <c r="C143" s="66">
        <v>1053.1322847108793</v>
      </c>
      <c r="F143">
        <v>2021</v>
      </c>
      <c r="G143" s="69">
        <v>2</v>
      </c>
      <c r="H143" s="66">
        <v>8798.9637149388673</v>
      </c>
    </row>
    <row r="144" spans="1:22" x14ac:dyDescent="0.25">
      <c r="A144">
        <v>2021</v>
      </c>
      <c r="B144" s="69">
        <v>1</v>
      </c>
      <c r="C144" s="66">
        <v>1059.6970639411622</v>
      </c>
      <c r="F144">
        <v>2021</v>
      </c>
      <c r="G144" s="69">
        <v>1</v>
      </c>
      <c r="H144" s="66">
        <v>8871.9328203418663</v>
      </c>
    </row>
    <row r="145" spans="1:8" x14ac:dyDescent="0.25">
      <c r="A145">
        <v>2022</v>
      </c>
      <c r="B145" s="69">
        <v>5</v>
      </c>
      <c r="C145" s="66">
        <v>942.53628598361308</v>
      </c>
      <c r="F145">
        <v>2022</v>
      </c>
      <c r="G145" s="69">
        <v>5</v>
      </c>
      <c r="H145" s="66">
        <v>8419.4980260049979</v>
      </c>
    </row>
    <row r="146" spans="1:8" x14ac:dyDescent="0.25">
      <c r="A146">
        <v>2022</v>
      </c>
      <c r="B146" s="69">
        <v>4</v>
      </c>
      <c r="C146" s="66">
        <v>945.25283935296432</v>
      </c>
      <c r="F146">
        <v>2022</v>
      </c>
      <c r="G146" s="69">
        <v>4</v>
      </c>
      <c r="H146" s="66">
        <v>8420.633531342999</v>
      </c>
    </row>
    <row r="147" spans="1:8" x14ac:dyDescent="0.25">
      <c r="A147">
        <v>2022</v>
      </c>
      <c r="B147" s="69">
        <v>3</v>
      </c>
      <c r="C147" s="66">
        <v>950.81820990499682</v>
      </c>
      <c r="F147">
        <v>2022</v>
      </c>
      <c r="G147" s="69">
        <v>3</v>
      </c>
      <c r="H147" s="66">
        <v>8357.2040744119986</v>
      </c>
    </row>
    <row r="148" spans="1:8" x14ac:dyDescent="0.25">
      <c r="A148">
        <v>2022</v>
      </c>
      <c r="B148" s="69">
        <v>2</v>
      </c>
      <c r="C148" s="66">
        <v>926.41725765913588</v>
      </c>
      <c r="F148">
        <v>2022</v>
      </c>
      <c r="G148" s="69">
        <v>2</v>
      </c>
      <c r="H148" s="66">
        <v>8123.8609302329996</v>
      </c>
    </row>
    <row r="149" spans="1:8" x14ac:dyDescent="0.25">
      <c r="A149">
        <v>2022</v>
      </c>
      <c r="B149" s="69">
        <v>1</v>
      </c>
      <c r="C149" s="66">
        <v>862.98822388852909</v>
      </c>
      <c r="F149">
        <v>2022</v>
      </c>
      <c r="G149" s="69">
        <v>1</v>
      </c>
      <c r="H149" s="66">
        <v>7676.4114603399994</v>
      </c>
    </row>
    <row r="150" spans="1:8" x14ac:dyDescent="0.25">
      <c r="A150">
        <v>2023</v>
      </c>
      <c r="B150" s="69">
        <v>5</v>
      </c>
      <c r="C150" s="66">
        <v>836.56633832215175</v>
      </c>
      <c r="F150">
        <v>2023</v>
      </c>
      <c r="G150" s="69">
        <v>5</v>
      </c>
      <c r="H150" s="66">
        <v>8422.4469063949728</v>
      </c>
    </row>
    <row r="151" spans="1:8" x14ac:dyDescent="0.25">
      <c r="A151">
        <v>2023</v>
      </c>
      <c r="B151" s="69">
        <v>4</v>
      </c>
      <c r="C151" s="66">
        <v>849.77867212354715</v>
      </c>
      <c r="F151">
        <v>2023</v>
      </c>
      <c r="G151" s="69">
        <v>4</v>
      </c>
      <c r="H151" s="66">
        <v>8504.9420276649726</v>
      </c>
    </row>
    <row r="152" spans="1:8" x14ac:dyDescent="0.25">
      <c r="A152">
        <v>2023</v>
      </c>
      <c r="B152" s="69">
        <v>3</v>
      </c>
      <c r="C152" s="66">
        <v>802.24414003294692</v>
      </c>
      <c r="F152">
        <v>2023</v>
      </c>
      <c r="G152" s="69">
        <v>3</v>
      </c>
      <c r="H152" s="66">
        <v>8253.577307148973</v>
      </c>
    </row>
    <row r="153" spans="1:8" x14ac:dyDescent="0.25">
      <c r="A153">
        <v>2023</v>
      </c>
      <c r="B153" s="69">
        <v>2</v>
      </c>
      <c r="C153" s="66">
        <v>826.45494089268846</v>
      </c>
      <c r="F153">
        <v>2023</v>
      </c>
      <c r="G153" s="69">
        <v>2</v>
      </c>
      <c r="H153" s="66">
        <v>8420.3949454869726</v>
      </c>
    </row>
    <row r="154" spans="1:8" x14ac:dyDescent="0.25">
      <c r="A154">
        <v>2023</v>
      </c>
      <c r="B154" s="69">
        <v>1</v>
      </c>
      <c r="C154" s="66">
        <v>855.27072588603892</v>
      </c>
      <c r="F154">
        <v>2023</v>
      </c>
      <c r="G154" s="69">
        <v>1</v>
      </c>
      <c r="H154" s="66">
        <v>8589.2474462449736</v>
      </c>
    </row>
    <row r="155" spans="1:8" x14ac:dyDescent="0.25">
      <c r="A155">
        <v>2024</v>
      </c>
      <c r="B155" s="69">
        <v>5</v>
      </c>
      <c r="C155" s="66">
        <v>772.22421927966661</v>
      </c>
      <c r="F155">
        <v>2024</v>
      </c>
      <c r="G155" s="69">
        <v>5</v>
      </c>
      <c r="H155" s="66">
        <v>7314.0249025189996</v>
      </c>
    </row>
    <row r="156" spans="1:8" x14ac:dyDescent="0.25">
      <c r="A156">
        <v>2024</v>
      </c>
      <c r="B156" s="69">
        <v>4</v>
      </c>
      <c r="C156" s="66">
        <v>754.93903777228297</v>
      </c>
      <c r="F156">
        <v>2024</v>
      </c>
      <c r="G156" s="69">
        <v>4</v>
      </c>
      <c r="H156" s="66">
        <v>7169.610256986999</v>
      </c>
    </row>
    <row r="157" spans="1:8" x14ac:dyDescent="0.25">
      <c r="A157">
        <v>2024</v>
      </c>
      <c r="B157" s="69">
        <v>3</v>
      </c>
      <c r="C157" s="66">
        <v>800.43907243447779</v>
      </c>
      <c r="F157">
        <v>2024</v>
      </c>
      <c r="G157" s="69">
        <v>3</v>
      </c>
      <c r="H157" s="66">
        <v>7443.5804879140005</v>
      </c>
    </row>
    <row r="158" spans="1:8" x14ac:dyDescent="0.25">
      <c r="A158">
        <v>2024</v>
      </c>
      <c r="B158" s="69">
        <v>2</v>
      </c>
      <c r="C158" s="66">
        <v>818.99254791984254</v>
      </c>
      <c r="F158">
        <v>2024</v>
      </c>
      <c r="G158" s="69">
        <v>2</v>
      </c>
      <c r="H158" s="66">
        <v>7590.5398619670004</v>
      </c>
    </row>
    <row r="159" spans="1:8" x14ac:dyDescent="0.25">
      <c r="A159">
        <v>2024</v>
      </c>
      <c r="B159" s="69">
        <v>1</v>
      </c>
      <c r="C159" s="66">
        <v>867.89565939354156</v>
      </c>
      <c r="F159">
        <v>2024</v>
      </c>
      <c r="G159" s="69">
        <v>1</v>
      </c>
      <c r="H159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S2" activePane="bottomRight" state="frozen"/>
      <selection activeCell="B39" sqref="B39"/>
      <selection pane="topRight" activeCell="B39" sqref="B39"/>
      <selection pane="bottomLeft" activeCell="B39" sqref="B39"/>
      <selection pane="bottomRight" activeCell="B39" sqref="B39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5399.7407134360001</v>
      </c>
      <c r="IY2" s="158"/>
      <c r="IZ2" s="158"/>
      <c r="JA2" s="158"/>
      <c r="JB2" s="158"/>
      <c r="JC2" s="158"/>
      <c r="JD2" s="158"/>
      <c r="JE2" s="158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4387.4784807799997</v>
      </c>
      <c r="IY4" s="159"/>
      <c r="IZ4" s="159"/>
      <c r="JA4" s="159"/>
      <c r="JB4" s="159"/>
      <c r="JC4" s="159"/>
      <c r="JD4" s="159"/>
      <c r="JE4" s="159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33.113214022000001</v>
      </c>
      <c r="IY5" s="158"/>
      <c r="IZ5" s="158"/>
      <c r="JA5" s="158"/>
      <c r="JB5" s="158"/>
      <c r="JC5" s="158"/>
      <c r="JD5" s="158"/>
      <c r="JE5" s="158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577.94065581099994</v>
      </c>
      <c r="IY6" s="158"/>
      <c r="IZ6" s="158"/>
      <c r="JA6" s="158"/>
      <c r="JB6" s="158"/>
      <c r="JC6" s="158"/>
      <c r="JD6" s="158"/>
      <c r="JE6" s="158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377.74826358400003</v>
      </c>
      <c r="IY7" s="158"/>
      <c r="IZ7" s="158"/>
      <c r="JA7" s="158"/>
      <c r="JB7" s="158"/>
      <c r="JC7" s="158"/>
      <c r="JD7" s="158"/>
      <c r="JE7" s="158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200.19239222699997</v>
      </c>
      <c r="IY8" s="158"/>
      <c r="IZ8" s="158"/>
      <c r="JA8" s="158"/>
      <c r="JB8" s="158"/>
      <c r="JC8" s="158"/>
      <c r="JD8" s="158"/>
      <c r="JE8" s="158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/>
      <c r="IZ9" s="158"/>
      <c r="JA9" s="158"/>
      <c r="JB9" s="158"/>
      <c r="JC9" s="158"/>
      <c r="JD9" s="158"/>
      <c r="JE9" s="158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308.83132877899999</v>
      </c>
      <c r="IY10" s="158"/>
      <c r="IZ10" s="158"/>
      <c r="JA10" s="158"/>
      <c r="JB10" s="158"/>
      <c r="JC10" s="158"/>
      <c r="JD10" s="158"/>
      <c r="JE10" s="158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3467.5932821679999</v>
      </c>
      <c r="IY11" s="158"/>
      <c r="IZ11" s="158"/>
      <c r="JA11" s="158"/>
      <c r="JB11" s="158"/>
      <c r="JC11" s="158"/>
      <c r="JD11" s="158"/>
      <c r="JE11" s="158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/>
      <c r="IZ13" s="158"/>
      <c r="JA13" s="158"/>
      <c r="JB13" s="158"/>
      <c r="JC13" s="158"/>
      <c r="JD13" s="158"/>
      <c r="JE13" s="158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154.33945625199999</v>
      </c>
      <c r="IY15" s="158"/>
      <c r="IZ15" s="158"/>
      <c r="JA15" s="158"/>
      <c r="JB15" s="158"/>
      <c r="JC15" s="158"/>
      <c r="JD15" s="158"/>
      <c r="JE15" s="158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/>
      <c r="IZ16" s="158"/>
      <c r="JA16" s="158"/>
      <c r="JB16" s="158"/>
      <c r="JC16" s="158"/>
      <c r="JD16" s="158"/>
      <c r="JE16" s="158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/>
      <c r="IZ17" s="158"/>
      <c r="JA17" s="158"/>
      <c r="JB17" s="158"/>
      <c r="JC17" s="158"/>
      <c r="JD17" s="158"/>
      <c r="JE17" s="158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/>
      <c r="IZ18" s="158"/>
      <c r="JA18" s="158"/>
      <c r="JB18" s="158"/>
      <c r="JC18" s="158"/>
      <c r="JD18" s="158"/>
      <c r="JE18" s="158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/>
      <c r="IZ19" s="158"/>
      <c r="JA19" s="158"/>
      <c r="JB19" s="158"/>
      <c r="JC19" s="158"/>
      <c r="JD19" s="158"/>
      <c r="JE19" s="158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/>
      <c r="IZ20" s="158"/>
      <c r="JA20" s="158"/>
      <c r="JB20" s="158"/>
      <c r="JC20" s="158"/>
      <c r="JD20" s="158"/>
      <c r="JE20" s="158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/>
      <c r="IZ21" s="158"/>
      <c r="JA21" s="158"/>
      <c r="JB21" s="158"/>
      <c r="JC21" s="158"/>
      <c r="JD21" s="158"/>
      <c r="JE21" s="158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154.33945625199999</v>
      </c>
      <c r="IY22" s="158"/>
      <c r="IZ22" s="158"/>
      <c r="JA22" s="158"/>
      <c r="JB22" s="158"/>
      <c r="JC22" s="158"/>
      <c r="JD22" s="158"/>
      <c r="JE22" s="158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154.33945625199999</v>
      </c>
      <c r="IY23" s="158"/>
      <c r="IZ23" s="158"/>
      <c r="JA23" s="158"/>
      <c r="JB23" s="158"/>
      <c r="JC23" s="158"/>
      <c r="JD23" s="158"/>
      <c r="JE23" s="158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/>
      <c r="IZ24" s="158"/>
      <c r="JA24" s="158"/>
      <c r="JB24" s="158"/>
      <c r="JC24" s="158"/>
      <c r="JD24" s="158"/>
      <c r="JE24" s="158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598.0044411670001</v>
      </c>
      <c r="IY25" s="158"/>
      <c r="IZ25" s="158"/>
      <c r="JA25" s="158"/>
      <c r="JB25" s="158"/>
      <c r="JC25" s="158"/>
      <c r="JD25" s="158"/>
      <c r="JE25" s="158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/>
      <c r="IZ26" s="158"/>
      <c r="JA26" s="158"/>
      <c r="JB26" s="158"/>
      <c r="JC26" s="158"/>
      <c r="JD26" s="158"/>
      <c r="JE26" s="158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/>
      <c r="IZ27" s="160"/>
      <c r="JA27" s="160"/>
      <c r="JB27" s="160"/>
      <c r="JC27" s="160"/>
      <c r="JD27" s="160"/>
      <c r="JE27" s="160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/>
      <c r="IZ28" s="158"/>
      <c r="JA28" s="158"/>
      <c r="JB28" s="158"/>
      <c r="JC28" s="158"/>
      <c r="JD28" s="158"/>
      <c r="JE28" s="158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259.07830443700004</v>
      </c>
      <c r="IY29" s="158"/>
      <c r="IZ29" s="158"/>
      <c r="JA29" s="158"/>
      <c r="JB29" s="158"/>
      <c r="JC29" s="158"/>
      <c r="JD29" s="158"/>
      <c r="JE29" s="158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/>
      <c r="IZ30" s="158"/>
      <c r="JA30" s="158"/>
      <c r="JB30" s="158"/>
      <c r="JC30" s="158"/>
      <c r="JD30" s="158"/>
      <c r="JE30" s="158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151.91401576000001</v>
      </c>
      <c r="IY31" s="158"/>
      <c r="IZ31" s="158"/>
      <c r="JA31" s="158"/>
      <c r="JB31" s="158"/>
      <c r="JC31" s="158"/>
      <c r="JD31" s="158"/>
      <c r="JE31" s="158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164.81390964900001</v>
      </c>
      <c r="IY32" s="158"/>
      <c r="IZ32" s="158"/>
      <c r="JA32" s="158"/>
      <c r="JB32" s="158"/>
      <c r="JC32" s="158"/>
      <c r="JD32" s="158"/>
      <c r="JE32" s="158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/>
      <c r="IZ34" s="158"/>
      <c r="JA34" s="158"/>
      <c r="JB34" s="158"/>
      <c r="JC34" s="158"/>
      <c r="JD34" s="158"/>
      <c r="JE34" s="158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/>
      <c r="IZ35" s="198"/>
      <c r="JA35" s="198"/>
      <c r="JB35" s="198"/>
      <c r="JC35" s="198"/>
      <c r="JD35" s="198"/>
      <c r="JE35" s="198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/>
      <c r="IZ36" s="161"/>
      <c r="JA36" s="161"/>
      <c r="JB36" s="161"/>
      <c r="JC36" s="161"/>
      <c r="JD36" s="161"/>
      <c r="JE36" s="161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/>
      <c r="IZ37" s="158"/>
      <c r="JA37" s="158"/>
      <c r="JB37" s="158"/>
      <c r="JC37" s="158"/>
      <c r="JD37" s="158"/>
      <c r="JE37" s="158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/>
      <c r="IZ38" s="158"/>
      <c r="JA38" s="158"/>
      <c r="JB38" s="158"/>
      <c r="JC38" s="158"/>
      <c r="JD38" s="158"/>
      <c r="JE38" s="158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/>
      <c r="IZ39" s="158"/>
      <c r="JA39" s="158"/>
      <c r="JB39" s="158"/>
      <c r="JC39" s="158"/>
      <c r="JD39" s="158"/>
      <c r="JE39" s="158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/>
      <c r="IZ40" s="158"/>
      <c r="JA40" s="158"/>
      <c r="JB40" s="158"/>
      <c r="JC40" s="158"/>
      <c r="JD40" s="158"/>
      <c r="JE40" s="158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/>
      <c r="IZ41" s="161"/>
      <c r="JA41" s="161"/>
      <c r="JB41" s="161"/>
      <c r="JC41" s="161"/>
      <c r="JD41" s="161"/>
      <c r="JE41" s="161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/>
      <c r="IZ42" s="158"/>
      <c r="JA42" s="158"/>
      <c r="JB42" s="158"/>
      <c r="JC42" s="158"/>
      <c r="JD42" s="158"/>
      <c r="JE42" s="158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/>
      <c r="IZ43" s="158"/>
      <c r="JA43" s="158"/>
      <c r="JB43" s="158"/>
      <c r="JC43" s="158"/>
      <c r="JD43" s="158"/>
      <c r="JE43" s="158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/>
      <c r="IZ44" s="158"/>
      <c r="JA44" s="158"/>
      <c r="JB44" s="158"/>
      <c r="JC44" s="158"/>
      <c r="JD44" s="158"/>
      <c r="JE44" s="158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/>
      <c r="IZ45" s="158"/>
      <c r="JA45" s="158"/>
      <c r="JB45" s="158"/>
      <c r="JC45" s="158"/>
      <c r="JD45" s="158"/>
      <c r="JE45" s="158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/>
      <c r="IZ46" s="158"/>
      <c r="JA46" s="158"/>
      <c r="JB46" s="158"/>
      <c r="JC46" s="158"/>
      <c r="JD46" s="158"/>
      <c r="JE46" s="158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/>
      <c r="IZ47" s="161"/>
      <c r="JA47" s="161"/>
      <c r="JB47" s="161"/>
      <c r="JC47" s="161"/>
      <c r="JD47" s="161"/>
      <c r="JE47" s="161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/>
      <c r="IZ48" s="158"/>
      <c r="JA48" s="158"/>
      <c r="JB48" s="158"/>
      <c r="JC48" s="158"/>
      <c r="JD48" s="158"/>
      <c r="JE48" s="158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/>
      <c r="IZ49" s="158"/>
      <c r="JA49" s="158"/>
      <c r="JB49" s="158"/>
      <c r="JC49" s="158"/>
      <c r="JD49" s="158"/>
      <c r="JE49" s="158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/>
      <c r="IZ50" s="161"/>
      <c r="JA50" s="161"/>
      <c r="JB50" s="161"/>
      <c r="JC50" s="161"/>
      <c r="JD50" s="161"/>
      <c r="JE50" s="161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/>
      <c r="IZ51" s="158"/>
      <c r="JA51" s="158"/>
      <c r="JB51" s="158"/>
      <c r="JC51" s="158"/>
      <c r="JD51" s="158"/>
      <c r="JE51" s="158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/>
      <c r="IZ52" s="158"/>
      <c r="JA52" s="158"/>
      <c r="JB52" s="158"/>
      <c r="JC52" s="158"/>
      <c r="JD52" s="158"/>
      <c r="JE52" s="158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/>
      <c r="IZ53" s="161"/>
      <c r="JA53" s="161"/>
      <c r="JB53" s="161"/>
      <c r="JC53" s="161"/>
      <c r="JD53" s="161"/>
      <c r="JE53" s="161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/>
      <c r="IZ54" s="158"/>
      <c r="JA54" s="158"/>
      <c r="JB54" s="158"/>
      <c r="JC54" s="158"/>
      <c r="JD54" s="158"/>
      <c r="JE54" s="158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/>
      <c r="IZ55" s="161"/>
      <c r="JA55" s="161"/>
      <c r="JB55" s="161"/>
      <c r="JC55" s="161"/>
      <c r="JD55" s="161"/>
      <c r="JE55" s="161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/>
      <c r="IZ56" s="158"/>
      <c r="JA56" s="158"/>
      <c r="JB56" s="158"/>
      <c r="JC56" s="158"/>
      <c r="JD56" s="158"/>
      <c r="JE56" s="158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/>
      <c r="IZ57" s="158"/>
      <c r="JA57" s="158"/>
      <c r="JB57" s="158"/>
      <c r="JC57" s="158"/>
      <c r="JD57" s="158"/>
      <c r="JE57" s="158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/>
      <c r="IZ58" s="158"/>
      <c r="JA58" s="158"/>
      <c r="JB58" s="158"/>
      <c r="JC58" s="158"/>
      <c r="JD58" s="158"/>
      <c r="JE58" s="158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/>
      <c r="IZ59" s="158"/>
      <c r="JA59" s="158"/>
      <c r="JB59" s="158"/>
      <c r="JC59" s="158"/>
      <c r="JD59" s="158"/>
      <c r="JE59" s="158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/>
      <c r="IZ60" s="161"/>
      <c r="JA60" s="161"/>
      <c r="JB60" s="161"/>
      <c r="JC60" s="161"/>
      <c r="JD60" s="161"/>
      <c r="JE60" s="161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/>
      <c r="IZ61" s="158"/>
      <c r="JA61" s="158"/>
      <c r="JB61" s="158"/>
      <c r="JC61" s="158"/>
      <c r="JD61" s="158"/>
      <c r="JE61" s="158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/>
      <c r="IZ62" s="158"/>
      <c r="JA62" s="158"/>
      <c r="JB62" s="158"/>
      <c r="JC62" s="158"/>
      <c r="JD62" s="158"/>
      <c r="JE62" s="158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/>
      <c r="IZ63" s="158"/>
      <c r="JA63" s="158"/>
      <c r="JB63" s="158"/>
      <c r="JC63" s="158"/>
      <c r="JD63" s="158"/>
      <c r="JE63" s="158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/>
      <c r="IZ64" s="158"/>
      <c r="JA64" s="158"/>
      <c r="JB64" s="158"/>
      <c r="JC64" s="158"/>
      <c r="JD64" s="158"/>
      <c r="JE64" s="158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/>
      <c r="IZ65" s="158"/>
      <c r="JA65" s="158"/>
      <c r="JB65" s="158"/>
      <c r="JC65" s="158"/>
      <c r="JD65" s="158"/>
      <c r="JE65" s="158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/>
      <c r="IZ66" s="158"/>
      <c r="JA66" s="158"/>
      <c r="JB66" s="158"/>
      <c r="JC66" s="158"/>
      <c r="JD66" s="158"/>
      <c r="JE66" s="158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/>
      <c r="IZ67" s="158"/>
      <c r="JA67" s="158"/>
      <c r="JB67" s="158"/>
      <c r="JC67" s="158"/>
      <c r="JD67" s="158"/>
      <c r="JE67" s="158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/>
      <c r="IZ68" s="158"/>
      <c r="JA68" s="158"/>
      <c r="JB68" s="158"/>
      <c r="JC68" s="158"/>
      <c r="JD68" s="158"/>
      <c r="JE68" s="158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/>
      <c r="IZ69" s="158"/>
      <c r="JA69" s="158"/>
      <c r="JB69" s="158"/>
      <c r="JC69" s="158"/>
      <c r="JD69" s="158"/>
      <c r="JE69" s="158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1143.7080083730007</v>
      </c>
      <c r="IY71" s="158"/>
      <c r="IZ71" s="158"/>
      <c r="JA71" s="158"/>
      <c r="JB71" s="158"/>
      <c r="JC71" s="158"/>
      <c r="JD71" s="158"/>
      <c r="JE71" s="158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/>
      <c r="IZ74" s="158"/>
      <c r="JA74" s="158"/>
      <c r="JB74" s="158"/>
      <c r="JC74" s="158"/>
      <c r="JD74" s="158"/>
      <c r="JE74" s="158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/>
      <c r="IZ75" s="158"/>
      <c r="JA75" s="158"/>
      <c r="JB75" s="158"/>
      <c r="JC75" s="158"/>
      <c r="JD75" s="158"/>
      <c r="JE75" s="158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/>
      <c r="IZ76" s="158"/>
      <c r="JA76" s="158"/>
      <c r="JB76" s="158"/>
      <c r="JC76" s="158"/>
      <c r="JD76" s="158"/>
      <c r="JE76" s="158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/>
      <c r="IZ77" s="158"/>
      <c r="JA77" s="158"/>
      <c r="JB77" s="158"/>
      <c r="JC77" s="158"/>
      <c r="JD77" s="158"/>
      <c r="JE77" s="158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635.62240621100068</v>
      </c>
      <c r="IY78" s="162"/>
      <c r="IZ78" s="162"/>
      <c r="JA78" s="162"/>
      <c r="JB78" s="162"/>
      <c r="JC78" s="162"/>
      <c r="JD78" s="162"/>
      <c r="JE78" s="162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-1.1558573839999999</v>
      </c>
      <c r="IW82" s="158">
        <v>31.709224807000002</v>
      </c>
      <c r="IX82" s="158">
        <v>28.822257353000001</v>
      </c>
      <c r="IY82" s="158"/>
      <c r="IZ82" s="158"/>
      <c r="JA82" s="158"/>
      <c r="JB82" s="158"/>
      <c r="JC82" s="158"/>
      <c r="JD82" s="158"/>
      <c r="JE82" s="158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-1.1558573839999999</v>
      </c>
      <c r="IW83" s="158">
        <v>31.709224807000002</v>
      </c>
      <c r="IX83" s="158">
        <v>28.822257353000001</v>
      </c>
      <c r="IY83" s="158"/>
      <c r="IZ83" s="158"/>
      <c r="JA83" s="158"/>
      <c r="JB83" s="158"/>
      <c r="JC83" s="158"/>
      <c r="JD83" s="158"/>
      <c r="JE83" s="158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/>
      <c r="IZ84" s="158"/>
      <c r="JA84" s="158"/>
      <c r="JB84" s="158"/>
      <c r="JC84" s="158"/>
      <c r="JD84" s="158"/>
      <c r="JE84" s="158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-555.6078134679999</v>
      </c>
      <c r="IW85" s="158">
        <v>1146.1299144889999</v>
      </c>
      <c r="IX85" s="158">
        <v>1622.444519252</v>
      </c>
      <c r="IY85" s="158"/>
      <c r="IZ85" s="158"/>
      <c r="JA85" s="158"/>
      <c r="JB85" s="158"/>
      <c r="JC85" s="158"/>
      <c r="JD85" s="158"/>
      <c r="JE85" s="158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-16.420111705</v>
      </c>
      <c r="IW86" s="158">
        <v>1129.139421227</v>
      </c>
      <c r="IX86" s="158">
        <v>-26.516279398999998</v>
      </c>
      <c r="IY86" s="158"/>
      <c r="IZ86" s="158"/>
      <c r="JA86" s="158"/>
      <c r="JB86" s="158"/>
      <c r="JC86" s="158"/>
      <c r="JD86" s="158"/>
      <c r="JE86" s="158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1648.960798651</v>
      </c>
      <c r="IY87" s="158"/>
      <c r="IZ87" s="158"/>
      <c r="JA87" s="158"/>
      <c r="JB87" s="158"/>
      <c r="JC87" s="158"/>
      <c r="JD87" s="158"/>
      <c r="JE87" s="158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-16.344111705</v>
      </c>
      <c r="IW89" s="158">
        <v>244.05842122700003</v>
      </c>
      <c r="IX89" s="158">
        <v>0</v>
      </c>
      <c r="IY89" s="158"/>
      <c r="IZ89" s="158"/>
      <c r="JA89" s="158"/>
      <c r="JB89" s="158"/>
      <c r="JC89" s="158"/>
      <c r="JD89" s="158"/>
      <c r="JE89" s="158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-16.344111705</v>
      </c>
      <c r="IW90" s="158">
        <v>244.05842122700003</v>
      </c>
      <c r="IX90" s="158">
        <v>0</v>
      </c>
      <c r="IY90" s="158"/>
      <c r="IZ90" s="158"/>
      <c r="JA90" s="158"/>
      <c r="JB90" s="158"/>
      <c r="JC90" s="158"/>
      <c r="JD90" s="158"/>
      <c r="JE90" s="158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/>
      <c r="IZ91" s="158"/>
      <c r="JA91" s="158"/>
      <c r="JB91" s="158"/>
      <c r="JC91" s="158"/>
      <c r="JD91" s="158"/>
      <c r="JE91" s="158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0</v>
      </c>
      <c r="IW93" s="158">
        <v>0</v>
      </c>
      <c r="IX93" s="158">
        <v>0</v>
      </c>
      <c r="IY93" s="158"/>
      <c r="IZ93" s="158"/>
      <c r="JA93" s="158"/>
      <c r="JB93" s="158"/>
      <c r="JC93" s="158"/>
      <c r="JD93" s="158"/>
      <c r="JE93" s="158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0</v>
      </c>
      <c r="IW94" s="158">
        <v>0</v>
      </c>
      <c r="IX94" s="158">
        <v>0</v>
      </c>
      <c r="IY94" s="158"/>
      <c r="IZ94" s="158"/>
      <c r="JA94" s="158"/>
      <c r="JB94" s="158"/>
      <c r="JC94" s="158"/>
      <c r="JD94" s="158"/>
      <c r="JE94" s="158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-2723.1666699899997</v>
      </c>
      <c r="IW96" s="158">
        <v>1625.0806598849995</v>
      </c>
      <c r="IX96" s="158">
        <v>2229.2446681100005</v>
      </c>
      <c r="IY96" s="158"/>
      <c r="IZ96" s="158"/>
      <c r="JA96" s="158"/>
      <c r="JB96" s="158"/>
      <c r="JC96" s="158"/>
      <c r="JD96" s="158"/>
      <c r="JE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V268"/>
  <sheetViews>
    <sheetView showGridLines="0" workbookViewId="0">
      <selection activeCell="B39" sqref="B39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8" bestFit="1" customWidth="1"/>
    <col min="14" max="14" width="21.7109375" hidden="1" customWidth="1"/>
    <col min="15" max="15" width="4.5703125" customWidth="1"/>
  </cols>
  <sheetData>
    <row r="2" spans="1:22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2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8">
        <v>37622</v>
      </c>
      <c r="I3" s="61">
        <v>7088.75</v>
      </c>
      <c r="K3">
        <v>2021</v>
      </c>
      <c r="L3" s="155" t="s">
        <v>200</v>
      </c>
      <c r="M3" t="s">
        <v>75</v>
      </c>
      <c r="N3" s="65">
        <v>6717.3797500000001</v>
      </c>
      <c r="T3" s="65"/>
      <c r="V3" s="65"/>
    </row>
    <row r="4" spans="1:22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8">
        <v>37653</v>
      </c>
      <c r="I4" s="61">
        <v>6942.77</v>
      </c>
      <c r="K4">
        <v>2021</v>
      </c>
      <c r="L4" s="155" t="s">
        <v>199</v>
      </c>
      <c r="M4" t="s">
        <v>74</v>
      </c>
      <c r="N4" s="65">
        <v>6410.7487500000007</v>
      </c>
      <c r="P4" s="156" t="s">
        <v>67</v>
      </c>
      <c r="Q4" s="156" t="s">
        <v>68</v>
      </c>
      <c r="R4" s="156" t="s">
        <v>83</v>
      </c>
      <c r="T4" s="65"/>
      <c r="V4" s="65"/>
    </row>
    <row r="5" spans="1:22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8">
        <v>37681</v>
      </c>
      <c r="I5" s="61">
        <v>6851.04</v>
      </c>
      <c r="K5">
        <v>2021</v>
      </c>
      <c r="L5" s="155" t="s">
        <v>198</v>
      </c>
      <c r="M5" t="s">
        <v>73</v>
      </c>
      <c r="N5" s="65">
        <v>6539.7484090909093</v>
      </c>
      <c r="P5" s="157" t="str">
        <f>VLOOKUP(MAX(K3:K100),$K$3:$N$100,2,0)</f>
        <v>may</v>
      </c>
      <c r="Q5" s="157" t="str">
        <f>MID(MAX(K3:K100),3,2)</f>
        <v>24</v>
      </c>
      <c r="R5" s="157" t="str">
        <f>P5&amp;"-"&amp;Q5</f>
        <v>may-24</v>
      </c>
      <c r="T5" s="65" t="str">
        <f>VLOOKUP(MAX(K3:K100),$K$3:$N$100,3,0)</f>
        <v>Mayo</v>
      </c>
      <c r="U5">
        <f>MAX(K3:K100)</f>
        <v>2024</v>
      </c>
      <c r="V5" s="195" t="str">
        <f>T5&amp;" "&amp;U5</f>
        <v>Mayo 2024</v>
      </c>
    </row>
    <row r="6" spans="1:22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8">
        <v>37712</v>
      </c>
      <c r="I6" s="61">
        <v>6855.04</v>
      </c>
      <c r="K6">
        <v>2021</v>
      </c>
      <c r="L6" s="155" t="s">
        <v>197</v>
      </c>
      <c r="M6" t="s">
        <v>72</v>
      </c>
      <c r="N6" s="65">
        <v>6723.152</v>
      </c>
      <c r="P6" s="157" t="str">
        <f>VLOOKUP(MAX(K3:K100)-1,$K$3:$N$100,2,0)</f>
        <v>may</v>
      </c>
      <c r="Q6" s="157" t="str">
        <f>MID(MAX(K3:K100)-1,3,2)</f>
        <v>23</v>
      </c>
      <c r="R6" s="157" t="str">
        <f>P6&amp;"-"&amp;Q6</f>
        <v>may-23</v>
      </c>
      <c r="T6" s="65"/>
      <c r="V6" s="65"/>
    </row>
    <row r="7" spans="1:22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8">
        <v>37742</v>
      </c>
      <c r="I7" s="61">
        <v>6462.22</v>
      </c>
      <c r="K7">
        <v>2021</v>
      </c>
      <c r="L7" s="155" t="s">
        <v>196</v>
      </c>
      <c r="M7" t="s">
        <v>71</v>
      </c>
      <c r="N7" s="65">
        <v>6902.8254999999999</v>
      </c>
      <c r="T7" s="65"/>
      <c r="V7" s="65"/>
    </row>
    <row r="8" spans="1:22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8">
        <v>37773</v>
      </c>
      <c r="I8" s="61">
        <v>6225.17</v>
      </c>
      <c r="K8">
        <v>2022</v>
      </c>
      <c r="L8" s="155" t="s">
        <v>200</v>
      </c>
      <c r="M8" t="s">
        <v>75</v>
      </c>
      <c r="N8" s="65">
        <v>6852.8014285714289</v>
      </c>
      <c r="T8" s="65"/>
      <c r="V8" s="65"/>
    </row>
    <row r="9" spans="1:22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8">
        <v>37803</v>
      </c>
      <c r="I9" s="61">
        <v>6010.63</v>
      </c>
      <c r="K9">
        <v>2022</v>
      </c>
      <c r="L9" s="155" t="s">
        <v>199</v>
      </c>
      <c r="M9" t="s">
        <v>74</v>
      </c>
      <c r="N9" s="65">
        <v>6851.9389473684205</v>
      </c>
      <c r="T9" s="65"/>
      <c r="V9" s="65"/>
    </row>
    <row r="10" spans="1:22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8">
        <v>37834</v>
      </c>
      <c r="I10" s="61">
        <v>6227.6</v>
      </c>
      <c r="K10">
        <v>2022</v>
      </c>
      <c r="L10" s="155" t="s">
        <v>198</v>
      </c>
      <c r="M10" t="s">
        <v>73</v>
      </c>
      <c r="N10" s="65">
        <v>6962.944130434782</v>
      </c>
      <c r="T10" s="65"/>
      <c r="V10" s="65"/>
    </row>
    <row r="11" spans="1:22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8">
        <v>37865</v>
      </c>
      <c r="I11" s="61">
        <v>6218.07</v>
      </c>
      <c r="K11">
        <v>2022</v>
      </c>
      <c r="L11" s="155" t="s">
        <v>197</v>
      </c>
      <c r="M11" t="s">
        <v>72</v>
      </c>
      <c r="N11" s="65">
        <v>6966.1513157894742</v>
      </c>
      <c r="T11" s="65"/>
      <c r="V11" s="65"/>
    </row>
    <row r="12" spans="1:22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8">
        <v>37895</v>
      </c>
      <c r="I12" s="61">
        <v>6206.46</v>
      </c>
      <c r="K12">
        <v>2022</v>
      </c>
      <c r="L12" s="155" t="s">
        <v>196</v>
      </c>
      <c r="M12" t="s">
        <v>71</v>
      </c>
      <c r="N12" s="65">
        <v>6986.9590476190479</v>
      </c>
      <c r="T12" s="65"/>
      <c r="V12" s="65"/>
    </row>
    <row r="13" spans="1:22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8">
        <v>37926</v>
      </c>
      <c r="I13" s="61">
        <v>6155.65</v>
      </c>
      <c r="K13">
        <v>2023</v>
      </c>
      <c r="L13" s="155" t="s">
        <v>200</v>
      </c>
      <c r="M13" t="s">
        <v>75</v>
      </c>
      <c r="N13" s="65">
        <v>7207.7045238095252</v>
      </c>
      <c r="T13" s="65"/>
      <c r="V13" s="65"/>
    </row>
    <row r="14" spans="1:22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8">
        <v>37956</v>
      </c>
      <c r="I14" s="61">
        <v>5982.66</v>
      </c>
      <c r="K14">
        <v>2023</v>
      </c>
      <c r="L14" s="155" t="s">
        <v>199</v>
      </c>
      <c r="M14" t="s">
        <v>74</v>
      </c>
      <c r="N14" s="65">
        <v>7173.0261111111104</v>
      </c>
      <c r="T14" s="65"/>
      <c r="V14" s="65"/>
    </row>
    <row r="15" spans="1:22" x14ac:dyDescent="0.25">
      <c r="D15" s="60">
        <v>2015</v>
      </c>
      <c r="E15" s="194">
        <v>188477.32697742901</v>
      </c>
      <c r="G15" s="60">
        <f t="shared" si="0"/>
        <v>2004</v>
      </c>
      <c r="H15" s="228">
        <v>37987</v>
      </c>
      <c r="I15" s="61">
        <v>6190.4761904761908</v>
      </c>
      <c r="K15">
        <v>2023</v>
      </c>
      <c r="L15" s="155" t="s">
        <v>198</v>
      </c>
      <c r="M15" t="s">
        <v>73</v>
      </c>
      <c r="N15" s="65">
        <v>7184.7078260869566</v>
      </c>
      <c r="T15" s="65"/>
      <c r="V15" s="65"/>
    </row>
    <row r="16" spans="1:22" x14ac:dyDescent="0.25">
      <c r="D16" s="60">
        <v>2016</v>
      </c>
      <c r="E16" s="194">
        <v>204647.27307504832</v>
      </c>
      <c r="G16" s="60">
        <f t="shared" si="0"/>
        <v>2004</v>
      </c>
      <c r="H16" s="228">
        <v>38018</v>
      </c>
      <c r="I16" s="61">
        <v>6038.35</v>
      </c>
      <c r="K16">
        <v>2023</v>
      </c>
      <c r="L16" s="155" t="s">
        <v>197</v>
      </c>
      <c r="M16" t="s">
        <v>72</v>
      </c>
      <c r="N16" s="65">
        <v>7292.0576315789476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8">
        <v>38047</v>
      </c>
      <c r="I17" s="61">
        <v>5974.636363636364</v>
      </c>
      <c r="K17">
        <v>2023</v>
      </c>
      <c r="L17" s="155" t="s">
        <v>196</v>
      </c>
      <c r="M17" t="s">
        <v>71</v>
      </c>
      <c r="N17" s="65">
        <v>7373.170681818181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8">
        <v>38078</v>
      </c>
      <c r="I18" s="61">
        <v>5730.5</v>
      </c>
      <c r="K18">
        <v>2024</v>
      </c>
      <c r="L18" s="155" t="s">
        <v>200</v>
      </c>
      <c r="M18" t="s">
        <v>75</v>
      </c>
      <c r="N18" s="65">
        <v>7511.5984210526312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8">
        <v>38108</v>
      </c>
      <c r="I19" s="61">
        <v>5756.9047619047615</v>
      </c>
      <c r="K19">
        <v>2024</v>
      </c>
      <c r="L19" s="155" t="s">
        <v>199</v>
      </c>
      <c r="M19" t="s">
        <v>74</v>
      </c>
      <c r="N19" s="65">
        <v>7405.4070454545454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8">
        <v>38139</v>
      </c>
      <c r="I20" s="61">
        <v>5922.272727272727</v>
      </c>
      <c r="K20">
        <v>2024</v>
      </c>
      <c r="L20" s="155" t="s">
        <v>198</v>
      </c>
      <c r="M20" t="s">
        <v>73</v>
      </c>
      <c r="N20" s="65">
        <v>7317.5874999999996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8">
        <v>38169</v>
      </c>
      <c r="I21" s="61">
        <v>5903.409090909091</v>
      </c>
      <c r="K21">
        <v>2024</v>
      </c>
      <c r="L21" s="155" t="s">
        <v>197</v>
      </c>
      <c r="M21" t="s">
        <v>72</v>
      </c>
      <c r="N21" s="65">
        <v>7285.0480952380958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8">
        <v>38200</v>
      </c>
      <c r="I22" s="61">
        <v>5908.818181818182</v>
      </c>
      <c r="K22">
        <v>2024</v>
      </c>
      <c r="L22" s="155" t="s">
        <v>196</v>
      </c>
      <c r="M22" t="s">
        <v>71</v>
      </c>
      <c r="N22" s="65">
        <v>7282.9988636363632</v>
      </c>
      <c r="S22" s="65"/>
      <c r="V22" s="65"/>
    </row>
    <row r="23" spans="4:22" x14ac:dyDescent="0.25">
      <c r="D23" s="60">
        <v>2023</v>
      </c>
      <c r="E23" s="194">
        <v>313102.70887862978</v>
      </c>
      <c r="F23" s="65"/>
      <c r="G23" s="60">
        <f t="shared" si="0"/>
        <v>2004</v>
      </c>
      <c r="H23" s="228">
        <v>38231</v>
      </c>
      <c r="I23" s="61">
        <v>5919.333333333333</v>
      </c>
    </row>
    <row r="24" spans="4:22" x14ac:dyDescent="0.25">
      <c r="D24" s="60">
        <v>2024</v>
      </c>
      <c r="E24" s="194">
        <v>334026.25081226527</v>
      </c>
      <c r="G24" s="60">
        <f t="shared" si="0"/>
        <v>2004</v>
      </c>
      <c r="H24" s="228">
        <v>38261</v>
      </c>
      <c r="I24" s="61">
        <v>5995</v>
      </c>
    </row>
    <row r="25" spans="4:22" x14ac:dyDescent="0.25">
      <c r="G25" s="60">
        <f t="shared" si="0"/>
        <v>2004</v>
      </c>
      <c r="H25" s="228">
        <v>38292</v>
      </c>
      <c r="I25" s="61">
        <v>6100</v>
      </c>
    </row>
    <row r="26" spans="4:22" x14ac:dyDescent="0.25">
      <c r="F26" s="64"/>
      <c r="G26" s="60">
        <f t="shared" si="0"/>
        <v>2004</v>
      </c>
      <c r="H26" s="228">
        <v>38322</v>
      </c>
      <c r="I26" s="61">
        <v>6185.227272727273</v>
      </c>
      <c r="J26" s="64"/>
    </row>
    <row r="27" spans="4:22" x14ac:dyDescent="0.25">
      <c r="G27" s="60">
        <f t="shared" si="0"/>
        <v>2005</v>
      </c>
      <c r="H27" s="228">
        <v>38353</v>
      </c>
      <c r="I27" s="61">
        <v>6276.666666666667</v>
      </c>
    </row>
    <row r="28" spans="4:22" x14ac:dyDescent="0.25">
      <c r="G28" s="60">
        <f t="shared" si="0"/>
        <v>2005</v>
      </c>
      <c r="H28" s="228">
        <v>38384</v>
      </c>
      <c r="I28" s="61">
        <v>6311</v>
      </c>
    </row>
    <row r="29" spans="4:22" x14ac:dyDescent="0.25">
      <c r="G29" s="60">
        <f t="shared" si="0"/>
        <v>2005</v>
      </c>
      <c r="H29" s="228">
        <v>38412</v>
      </c>
      <c r="I29" s="61">
        <v>6262.25</v>
      </c>
    </row>
    <row r="30" spans="4:22" x14ac:dyDescent="0.25">
      <c r="G30" s="60">
        <f t="shared" si="0"/>
        <v>2005</v>
      </c>
      <c r="H30" s="228">
        <v>38443</v>
      </c>
      <c r="I30" s="61">
        <v>6267.75</v>
      </c>
    </row>
    <row r="31" spans="4:22" x14ac:dyDescent="0.25">
      <c r="G31" s="60">
        <f t="shared" si="0"/>
        <v>2005</v>
      </c>
      <c r="H31" s="228">
        <v>38473</v>
      </c>
      <c r="I31" s="61">
        <v>6242.727272727273</v>
      </c>
    </row>
    <row r="32" spans="4:22" x14ac:dyDescent="0.25">
      <c r="G32" s="60">
        <f t="shared" si="0"/>
        <v>2005</v>
      </c>
      <c r="H32" s="228">
        <v>38504</v>
      </c>
      <c r="I32" s="61">
        <v>6129.318181818182</v>
      </c>
    </row>
    <row r="33" spans="7:9" x14ac:dyDescent="0.25">
      <c r="G33" s="60">
        <f t="shared" si="0"/>
        <v>2005</v>
      </c>
      <c r="H33" s="228">
        <v>38534</v>
      </c>
      <c r="I33" s="61">
        <v>6020.4761904761908</v>
      </c>
    </row>
    <row r="34" spans="7:9" x14ac:dyDescent="0.25">
      <c r="G34" s="60">
        <f t="shared" si="0"/>
        <v>2005</v>
      </c>
      <c r="H34" s="228">
        <v>38565</v>
      </c>
      <c r="I34" s="61">
        <v>5996.818181818182</v>
      </c>
    </row>
    <row r="35" spans="7:9" x14ac:dyDescent="0.25">
      <c r="G35" s="60">
        <f t="shared" si="0"/>
        <v>2005</v>
      </c>
      <c r="H35" s="228">
        <v>38596</v>
      </c>
      <c r="I35" s="61">
        <v>6110.2380952380954</v>
      </c>
    </row>
    <row r="36" spans="7:9" x14ac:dyDescent="0.25">
      <c r="G36" s="60">
        <f t="shared" si="0"/>
        <v>2005</v>
      </c>
      <c r="H36" s="228">
        <v>38626</v>
      </c>
      <c r="I36" s="61">
        <v>6118.8095238095239</v>
      </c>
    </row>
    <row r="37" spans="7:9" x14ac:dyDescent="0.25">
      <c r="G37" s="60">
        <f t="shared" si="0"/>
        <v>2005</v>
      </c>
      <c r="H37" s="228">
        <v>38657</v>
      </c>
      <c r="I37" s="61">
        <v>6127.5</v>
      </c>
    </row>
    <row r="38" spans="7:9" x14ac:dyDescent="0.25">
      <c r="G38" s="60">
        <f t="shared" si="0"/>
        <v>2005</v>
      </c>
      <c r="H38" s="228">
        <v>38687</v>
      </c>
      <c r="I38" s="61">
        <v>6109.5238095238092</v>
      </c>
    </row>
    <row r="39" spans="7:9" x14ac:dyDescent="0.25">
      <c r="G39" s="60">
        <f t="shared" si="0"/>
        <v>2006</v>
      </c>
      <c r="H39" s="228">
        <v>38718</v>
      </c>
      <c r="I39" s="61">
        <v>6125.909090909091</v>
      </c>
    </row>
    <row r="40" spans="7:9" x14ac:dyDescent="0.25">
      <c r="G40" s="60">
        <f t="shared" si="0"/>
        <v>2006</v>
      </c>
      <c r="H40" s="228">
        <v>38749</v>
      </c>
      <c r="I40" s="61">
        <v>6059</v>
      </c>
    </row>
    <row r="41" spans="7:9" x14ac:dyDescent="0.25">
      <c r="G41" s="60">
        <f t="shared" si="0"/>
        <v>2006</v>
      </c>
      <c r="H41" s="228">
        <v>38777</v>
      </c>
      <c r="I41" s="61">
        <v>5884.090909090909</v>
      </c>
    </row>
    <row r="42" spans="7:9" x14ac:dyDescent="0.25">
      <c r="G42" s="60">
        <f t="shared" si="0"/>
        <v>2006</v>
      </c>
      <c r="H42" s="228">
        <v>38808</v>
      </c>
      <c r="I42" s="61">
        <v>5796.666666666667</v>
      </c>
    </row>
    <row r="43" spans="7:9" x14ac:dyDescent="0.25">
      <c r="G43" s="60">
        <f t="shared" si="0"/>
        <v>2006</v>
      </c>
      <c r="H43" s="228">
        <v>38838</v>
      </c>
      <c r="I43" s="61">
        <v>5595.7142857142853</v>
      </c>
    </row>
    <row r="44" spans="7:9" x14ac:dyDescent="0.25">
      <c r="G44" s="60">
        <f t="shared" si="0"/>
        <v>2006</v>
      </c>
      <c r="H44" s="228">
        <v>38869</v>
      </c>
      <c r="I44" s="61">
        <v>5615.2380952380954</v>
      </c>
    </row>
    <row r="45" spans="7:9" x14ac:dyDescent="0.25">
      <c r="G45" s="60">
        <f t="shared" si="0"/>
        <v>2006</v>
      </c>
      <c r="H45" s="228">
        <v>38899</v>
      </c>
      <c r="I45" s="61">
        <v>5491.9047619047615</v>
      </c>
    </row>
    <row r="46" spans="7:9" x14ac:dyDescent="0.25">
      <c r="G46" s="60">
        <f t="shared" si="0"/>
        <v>2006</v>
      </c>
      <c r="H46" s="228">
        <v>38930</v>
      </c>
      <c r="I46" s="61">
        <v>5423.181818181818</v>
      </c>
    </row>
    <row r="47" spans="7:9" x14ac:dyDescent="0.25">
      <c r="G47" s="60">
        <f t="shared" si="0"/>
        <v>2006</v>
      </c>
      <c r="H47" s="228">
        <v>38961</v>
      </c>
      <c r="I47" s="61">
        <v>5398.25</v>
      </c>
    </row>
    <row r="48" spans="7:9" x14ac:dyDescent="0.25">
      <c r="G48" s="60">
        <f t="shared" si="0"/>
        <v>2006</v>
      </c>
      <c r="H48" s="228">
        <v>38991</v>
      </c>
      <c r="I48" s="61">
        <v>5344.772727272727</v>
      </c>
    </row>
    <row r="49" spans="7:9" x14ac:dyDescent="0.25">
      <c r="G49" s="60">
        <f t="shared" si="0"/>
        <v>2006</v>
      </c>
      <c r="H49" s="228">
        <v>39022</v>
      </c>
      <c r="I49" s="61">
        <v>5396.363636363636</v>
      </c>
    </row>
    <row r="50" spans="7:9" x14ac:dyDescent="0.25">
      <c r="G50" s="60">
        <f t="shared" si="0"/>
        <v>2006</v>
      </c>
      <c r="H50" s="228">
        <v>39052</v>
      </c>
      <c r="I50" s="61">
        <v>5313.1578947368425</v>
      </c>
    </row>
    <row r="51" spans="7:9" x14ac:dyDescent="0.25">
      <c r="G51" s="60">
        <f t="shared" si="0"/>
        <v>2007</v>
      </c>
      <c r="H51" s="228">
        <v>39083</v>
      </c>
      <c r="I51" s="61">
        <v>5200.681818181818</v>
      </c>
    </row>
    <row r="52" spans="7:9" x14ac:dyDescent="0.25">
      <c r="G52" s="60">
        <f t="shared" si="0"/>
        <v>2007</v>
      </c>
      <c r="H52" s="228">
        <v>39114</v>
      </c>
      <c r="I52" s="61">
        <v>5204</v>
      </c>
    </row>
    <row r="53" spans="7:9" x14ac:dyDescent="0.25">
      <c r="G53" s="60">
        <f t="shared" si="0"/>
        <v>2007</v>
      </c>
      <c r="H53" s="228">
        <v>39142</v>
      </c>
      <c r="I53" s="61">
        <v>5090.9523809523807</v>
      </c>
    </row>
    <row r="54" spans="7:9" x14ac:dyDescent="0.25">
      <c r="G54" s="60">
        <f t="shared" si="0"/>
        <v>2007</v>
      </c>
      <c r="H54" s="228">
        <v>39173</v>
      </c>
      <c r="I54" s="61">
        <v>5023.1578947368425</v>
      </c>
    </row>
    <row r="55" spans="7:9" x14ac:dyDescent="0.25">
      <c r="G55" s="60">
        <f t="shared" si="0"/>
        <v>2007</v>
      </c>
      <c r="H55" s="228">
        <v>39203</v>
      </c>
      <c r="I55" s="61">
        <v>5045.7142857142853</v>
      </c>
    </row>
    <row r="56" spans="7:9" x14ac:dyDescent="0.25">
      <c r="G56" s="60">
        <f t="shared" si="0"/>
        <v>2007</v>
      </c>
      <c r="H56" s="228">
        <v>39234</v>
      </c>
      <c r="I56" s="61">
        <v>5069.5</v>
      </c>
    </row>
    <row r="57" spans="7:9" x14ac:dyDescent="0.25">
      <c r="G57" s="60">
        <f t="shared" si="0"/>
        <v>2007</v>
      </c>
      <c r="H57" s="228">
        <v>39264</v>
      </c>
      <c r="I57" s="61">
        <v>5110.681818181818</v>
      </c>
    </row>
    <row r="58" spans="7:9" x14ac:dyDescent="0.25">
      <c r="G58" s="60">
        <f t="shared" si="0"/>
        <v>2007</v>
      </c>
      <c r="H58" s="228">
        <v>39295</v>
      </c>
      <c r="I58" s="61">
        <v>5096.136363636364</v>
      </c>
    </row>
    <row r="59" spans="7:9" x14ac:dyDescent="0.25">
      <c r="G59" s="60">
        <f t="shared" si="0"/>
        <v>2007</v>
      </c>
      <c r="H59" s="228">
        <v>39326</v>
      </c>
      <c r="I59" s="61">
        <v>5012.5</v>
      </c>
    </row>
    <row r="60" spans="7:9" x14ac:dyDescent="0.25">
      <c r="G60" s="60">
        <f t="shared" si="0"/>
        <v>2007</v>
      </c>
      <c r="H60" s="228">
        <v>39356</v>
      </c>
      <c r="I60" s="61">
        <v>4952.826086956522</v>
      </c>
    </row>
    <row r="61" spans="7:9" x14ac:dyDescent="0.25">
      <c r="G61" s="60">
        <f t="shared" si="0"/>
        <v>2007</v>
      </c>
      <c r="H61" s="228">
        <v>39387</v>
      </c>
      <c r="I61" s="61">
        <v>4714.318181818182</v>
      </c>
    </row>
    <row r="62" spans="7:9" x14ac:dyDescent="0.25">
      <c r="G62" s="60">
        <f t="shared" si="0"/>
        <v>2007</v>
      </c>
      <c r="H62" s="228">
        <v>39417</v>
      </c>
      <c r="I62" s="61">
        <v>4716.5</v>
      </c>
    </row>
    <row r="63" spans="7:9" x14ac:dyDescent="0.25">
      <c r="G63" s="60">
        <f t="shared" si="0"/>
        <v>2008</v>
      </c>
      <c r="H63" s="228">
        <v>39448</v>
      </c>
      <c r="I63" s="61">
        <v>4704.090909090909</v>
      </c>
    </row>
    <row r="64" spans="7:9" x14ac:dyDescent="0.25">
      <c r="G64" s="60">
        <f t="shared" si="0"/>
        <v>2008</v>
      </c>
      <c r="H64" s="228">
        <v>39479</v>
      </c>
      <c r="I64" s="61">
        <v>4672.8571428571431</v>
      </c>
    </row>
    <row r="65" spans="7:9" x14ac:dyDescent="0.25">
      <c r="G65" s="60">
        <f t="shared" si="0"/>
        <v>2008</v>
      </c>
      <c r="H65" s="228">
        <v>39508</v>
      </c>
      <c r="I65" s="61">
        <v>4524.7368421052633</v>
      </c>
    </row>
    <row r="66" spans="7:9" x14ac:dyDescent="0.25">
      <c r="G66" s="60">
        <f t="shared" si="0"/>
        <v>2008</v>
      </c>
      <c r="H66" s="228">
        <v>39539</v>
      </c>
      <c r="I66" s="61">
        <v>4274.090909090909</v>
      </c>
    </row>
    <row r="67" spans="7:9" x14ac:dyDescent="0.25">
      <c r="G67" s="60">
        <f t="shared" si="0"/>
        <v>2008</v>
      </c>
      <c r="H67" s="228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8">
        <v>39600</v>
      </c>
      <c r="I68" s="61">
        <v>3969</v>
      </c>
    </row>
    <row r="69" spans="7:9" x14ac:dyDescent="0.25">
      <c r="G69" s="60">
        <f t="shared" si="1"/>
        <v>2008</v>
      </c>
      <c r="H69" s="228">
        <v>39630</v>
      </c>
      <c r="I69" s="61">
        <v>3962.8260869565215</v>
      </c>
    </row>
    <row r="70" spans="7:9" x14ac:dyDescent="0.25">
      <c r="G70" s="60">
        <f t="shared" si="1"/>
        <v>2008</v>
      </c>
      <c r="H70" s="228">
        <v>39661</v>
      </c>
      <c r="I70" s="61">
        <v>3974.5</v>
      </c>
    </row>
    <row r="71" spans="7:9" x14ac:dyDescent="0.25">
      <c r="G71" s="60">
        <f t="shared" si="1"/>
        <v>2008</v>
      </c>
      <c r="H71" s="228">
        <v>39692</v>
      </c>
      <c r="I71" s="61">
        <v>3986.6666666666665</v>
      </c>
    </row>
    <row r="72" spans="7:9" x14ac:dyDescent="0.25">
      <c r="G72" s="60">
        <f t="shared" si="1"/>
        <v>2008</v>
      </c>
      <c r="H72" s="228">
        <v>39722</v>
      </c>
      <c r="I72" s="61">
        <v>4351.95652173913</v>
      </c>
    </row>
    <row r="73" spans="7:9" x14ac:dyDescent="0.25">
      <c r="G73" s="60">
        <f t="shared" si="1"/>
        <v>2008</v>
      </c>
      <c r="H73" s="228">
        <v>39753</v>
      </c>
      <c r="I73" s="61">
        <v>4799</v>
      </c>
    </row>
    <row r="74" spans="7:9" x14ac:dyDescent="0.25">
      <c r="G74" s="60">
        <f t="shared" si="1"/>
        <v>2008</v>
      </c>
      <c r="H74" s="228">
        <v>39783</v>
      </c>
      <c r="I74" s="61">
        <v>4874.2857142857147</v>
      </c>
    </row>
    <row r="75" spans="7:9" x14ac:dyDescent="0.25">
      <c r="G75" s="60">
        <f t="shared" si="1"/>
        <v>2009</v>
      </c>
      <c r="H75" s="228">
        <v>39814</v>
      </c>
      <c r="I75" s="61">
        <v>4978.5714285714284</v>
      </c>
    </row>
    <row r="76" spans="7:9" x14ac:dyDescent="0.25">
      <c r="G76" s="60">
        <f t="shared" si="1"/>
        <v>2009</v>
      </c>
      <c r="H76" s="228">
        <v>39845</v>
      </c>
      <c r="I76" s="61">
        <v>5085.75</v>
      </c>
    </row>
    <row r="77" spans="7:9" x14ac:dyDescent="0.25">
      <c r="G77" s="60">
        <f t="shared" si="1"/>
        <v>2009</v>
      </c>
      <c r="H77" s="228">
        <v>39873</v>
      </c>
      <c r="I77" s="61">
        <v>5124.545454545455</v>
      </c>
    </row>
    <row r="78" spans="7:9" x14ac:dyDescent="0.25">
      <c r="G78" s="60">
        <f t="shared" si="1"/>
        <v>2009</v>
      </c>
      <c r="H78" s="228">
        <v>39904</v>
      </c>
      <c r="I78" s="61">
        <v>5034.5</v>
      </c>
    </row>
    <row r="79" spans="7:9" x14ac:dyDescent="0.25">
      <c r="G79" s="60">
        <f t="shared" si="1"/>
        <v>2009</v>
      </c>
      <c r="H79" s="228">
        <v>39934</v>
      </c>
      <c r="I79" s="61">
        <v>5026.8421052631575</v>
      </c>
    </row>
    <row r="80" spans="7:9" x14ac:dyDescent="0.25">
      <c r="G80" s="60">
        <f t="shared" si="1"/>
        <v>2009</v>
      </c>
      <c r="H80" s="228">
        <v>39965</v>
      </c>
      <c r="I80" s="61">
        <v>5016.1904761904761</v>
      </c>
    </row>
    <row r="81" spans="7:9" x14ac:dyDescent="0.25">
      <c r="G81" s="60">
        <f t="shared" si="1"/>
        <v>2009</v>
      </c>
      <c r="H81" s="228">
        <v>39995</v>
      </c>
      <c r="I81" s="61">
        <v>4998.695652173913</v>
      </c>
    </row>
    <row r="82" spans="7:9" x14ac:dyDescent="0.25">
      <c r="G82" s="60">
        <f t="shared" si="1"/>
        <v>2009</v>
      </c>
      <c r="H82" s="228">
        <v>40026</v>
      </c>
      <c r="I82" s="61">
        <v>4944.7619047619046</v>
      </c>
    </row>
    <row r="83" spans="7:9" x14ac:dyDescent="0.25">
      <c r="G83" s="60">
        <f t="shared" si="1"/>
        <v>2009</v>
      </c>
      <c r="H83" s="228">
        <v>40057</v>
      </c>
      <c r="I83" s="61">
        <v>4923.8095238095239</v>
      </c>
    </row>
    <row r="84" spans="7:9" x14ac:dyDescent="0.25">
      <c r="G84" s="60">
        <f t="shared" si="1"/>
        <v>2009</v>
      </c>
      <c r="H84" s="228">
        <v>40087</v>
      </c>
      <c r="I84" s="61">
        <v>4870</v>
      </c>
    </row>
    <row r="85" spans="7:9" x14ac:dyDescent="0.25">
      <c r="G85" s="60">
        <f t="shared" si="1"/>
        <v>2009</v>
      </c>
      <c r="H85" s="228">
        <v>40118</v>
      </c>
      <c r="I85" s="61">
        <v>4828.5714285714284</v>
      </c>
    </row>
    <row r="86" spans="7:9" x14ac:dyDescent="0.25">
      <c r="G86" s="60">
        <f t="shared" si="1"/>
        <v>2009</v>
      </c>
      <c r="H86" s="228">
        <v>40148</v>
      </c>
      <c r="I86" s="61">
        <v>4649.0476190476193</v>
      </c>
    </row>
    <row r="87" spans="7:9" x14ac:dyDescent="0.25">
      <c r="G87" s="60">
        <f t="shared" si="1"/>
        <v>2010</v>
      </c>
      <c r="H87" s="228">
        <v>40179</v>
      </c>
      <c r="I87" s="61">
        <v>4655.5</v>
      </c>
    </row>
    <row r="88" spans="7:9" x14ac:dyDescent="0.25">
      <c r="G88" s="60">
        <f t="shared" si="1"/>
        <v>2010</v>
      </c>
      <c r="H88" s="228">
        <v>40210</v>
      </c>
      <c r="I88" s="61">
        <v>4694.75</v>
      </c>
    </row>
    <row r="89" spans="7:9" x14ac:dyDescent="0.25">
      <c r="G89" s="60">
        <f t="shared" si="1"/>
        <v>2010</v>
      </c>
      <c r="H89" s="228">
        <v>40238</v>
      </c>
      <c r="I89" s="61">
        <v>4693.909090909091</v>
      </c>
    </row>
    <row r="90" spans="7:9" x14ac:dyDescent="0.25">
      <c r="G90" s="60">
        <f t="shared" si="1"/>
        <v>2010</v>
      </c>
      <c r="H90" s="228">
        <v>40269</v>
      </c>
      <c r="I90" s="61">
        <v>4700.1000000000004</v>
      </c>
    </row>
    <row r="91" spans="7:9" x14ac:dyDescent="0.25">
      <c r="G91" s="60">
        <f t="shared" si="1"/>
        <v>2010</v>
      </c>
      <c r="H91" s="228">
        <v>40299</v>
      </c>
      <c r="I91" s="61">
        <v>4726.9523809523807</v>
      </c>
    </row>
    <row r="92" spans="7:9" x14ac:dyDescent="0.25">
      <c r="G92" s="60">
        <f t="shared" si="1"/>
        <v>2010</v>
      </c>
      <c r="H92" s="228">
        <v>40330</v>
      </c>
      <c r="I92" s="61">
        <v>4752.090909090909</v>
      </c>
    </row>
    <row r="93" spans="7:9" x14ac:dyDescent="0.25">
      <c r="G93" s="60">
        <f t="shared" si="1"/>
        <v>2010</v>
      </c>
      <c r="H93" s="228">
        <v>40360</v>
      </c>
      <c r="I93" s="61">
        <v>4757</v>
      </c>
    </row>
    <row r="94" spans="7:9" x14ac:dyDescent="0.25">
      <c r="G94" s="60">
        <f t="shared" si="1"/>
        <v>2010</v>
      </c>
      <c r="H94" s="228">
        <v>40391</v>
      </c>
      <c r="I94" s="61">
        <v>4755.772727272727</v>
      </c>
    </row>
    <row r="95" spans="7:9" x14ac:dyDescent="0.25">
      <c r="G95" s="60">
        <f t="shared" si="1"/>
        <v>2010</v>
      </c>
      <c r="H95" s="228">
        <v>40422</v>
      </c>
      <c r="I95" s="61">
        <v>4783.4761904761908</v>
      </c>
    </row>
    <row r="96" spans="7:9" x14ac:dyDescent="0.25">
      <c r="G96" s="60">
        <f t="shared" si="1"/>
        <v>2010</v>
      </c>
      <c r="H96" s="228">
        <v>40452</v>
      </c>
      <c r="I96" s="61">
        <v>4917.1428571428569</v>
      </c>
    </row>
    <row r="97" spans="7:9" x14ac:dyDescent="0.25">
      <c r="G97" s="60">
        <f t="shared" si="1"/>
        <v>2010</v>
      </c>
      <c r="H97" s="228">
        <v>40483</v>
      </c>
      <c r="I97" s="61">
        <v>4796.636363636364</v>
      </c>
    </row>
    <row r="98" spans="7:9" x14ac:dyDescent="0.25">
      <c r="G98" s="60">
        <f t="shared" si="1"/>
        <v>2010</v>
      </c>
      <c r="H98" s="228">
        <v>40513</v>
      </c>
      <c r="I98" s="61">
        <v>4570.227272727273</v>
      </c>
    </row>
    <row r="99" spans="7:9" x14ac:dyDescent="0.25">
      <c r="G99" s="60">
        <f t="shared" si="1"/>
        <v>2011</v>
      </c>
      <c r="H99" s="228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8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8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8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8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8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8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8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8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8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8">
        <v>40848</v>
      </c>
      <c r="I109" s="61">
        <v>4309</v>
      </c>
    </row>
    <row r="110" spans="7:9" x14ac:dyDescent="0.25">
      <c r="G110" s="60">
        <f t="shared" si="1"/>
        <v>2011</v>
      </c>
      <c r="H110" s="228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8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8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8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8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8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8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8">
        <v>41091</v>
      </c>
      <c r="I117" s="61">
        <v>4438</v>
      </c>
    </row>
    <row r="118" spans="7:9" x14ac:dyDescent="0.25">
      <c r="G118" s="60">
        <f t="shared" si="1"/>
        <v>2012</v>
      </c>
      <c r="H118" s="228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8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8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8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8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8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8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8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8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8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8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8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8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8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8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8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8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8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8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8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8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8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8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8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8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8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8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8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8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8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8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8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8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8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8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8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8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8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8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8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8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8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8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8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8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8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8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8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8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8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8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8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8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8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8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8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8">
        <v>42826</v>
      </c>
      <c r="I174" s="61">
        <v>5569.53</v>
      </c>
    </row>
    <row r="175" spans="7:9" x14ac:dyDescent="0.25">
      <c r="G175" s="60">
        <f t="shared" si="2"/>
        <v>2017</v>
      </c>
      <c r="H175" s="228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8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8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8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8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8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8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8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8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8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8">
        <v>43160</v>
      </c>
      <c r="I185" s="61">
        <v>5531.7945</v>
      </c>
    </row>
    <row r="186" spans="7:9" x14ac:dyDescent="0.25">
      <c r="G186" s="60">
        <f t="shared" si="2"/>
        <v>2018</v>
      </c>
      <c r="H186" s="228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8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8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8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8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8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8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8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8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8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8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8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8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8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8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8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8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8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8">
        <v>43739</v>
      </c>
      <c r="I204" s="61">
        <v>6439.38195652174</v>
      </c>
    </row>
    <row r="205" spans="7:9" x14ac:dyDescent="0.25">
      <c r="G205" s="60">
        <f t="shared" si="3"/>
        <v>2019</v>
      </c>
      <c r="H205" s="228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8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8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8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8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8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8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8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8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8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8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8">
        <v>44105</v>
      </c>
      <c r="I216" s="61">
        <v>7018.63590909091</v>
      </c>
    </row>
    <row r="217" spans="7:9" x14ac:dyDescent="0.25">
      <c r="G217" s="60">
        <f t="shared" si="3"/>
        <v>2020</v>
      </c>
      <c r="H217" s="228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8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8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8">
        <v>44228</v>
      </c>
      <c r="I220" s="61">
        <v>6723.152</v>
      </c>
    </row>
    <row r="221" spans="7:9" x14ac:dyDescent="0.25">
      <c r="G221" s="60">
        <f t="shared" si="3"/>
        <v>2021</v>
      </c>
      <c r="H221" s="228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8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8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8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8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8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8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8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8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8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8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8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8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8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8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8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8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8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8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8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8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8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8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8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8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8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8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8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8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8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8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8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8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8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8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8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8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8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8">
        <v>45413</v>
      </c>
      <c r="I259" s="229">
        <v>7511.5984210526312</v>
      </c>
    </row>
    <row r="260" spans="7:9" x14ac:dyDescent="0.25">
      <c r="H260" s="155"/>
    </row>
    <row r="261" spans="7:9" x14ac:dyDescent="0.25">
      <c r="H261" s="155"/>
    </row>
    <row r="262" spans="7:9" x14ac:dyDescent="0.25">
      <c r="H262" s="155"/>
    </row>
    <row r="263" spans="7:9" x14ac:dyDescent="0.25">
      <c r="H263" s="155"/>
    </row>
    <row r="264" spans="7:9" x14ac:dyDescent="0.25">
      <c r="H264" s="155"/>
    </row>
    <row r="265" spans="7:9" x14ac:dyDescent="0.25">
      <c r="H265" s="155"/>
    </row>
    <row r="266" spans="7:9" x14ac:dyDescent="0.25">
      <c r="H266" s="155"/>
    </row>
    <row r="267" spans="7:9" x14ac:dyDescent="0.25">
      <c r="H267" s="155"/>
    </row>
    <row r="268" spans="7:9" x14ac:dyDescent="0.25">
      <c r="H268" s="15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 2 0 2 4 - 0 4 - 2 6 T 1 6 : 2 0 : 0 7 . 1 2 5 9 8 3 4 - 0 4 : 0 0 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Props1.xml><?xml version="1.0" encoding="utf-8"?>
<ds:datastoreItem xmlns:ds="http://schemas.openxmlformats.org/officeDocument/2006/customXml" ds:itemID="{08E51D19-2E06-4AAD-A876-484C0F00036C}">
  <ds:schemaRefs/>
</ds:datastoreItem>
</file>

<file path=customXml/itemProps10.xml><?xml version="1.0" encoding="utf-8"?>
<ds:datastoreItem xmlns:ds="http://schemas.openxmlformats.org/officeDocument/2006/customXml" ds:itemID="{7CE5AB9F-EA88-4C66-B7E2-08713BEE22DD}">
  <ds:schemaRefs/>
</ds:datastoreItem>
</file>

<file path=customXml/itemProps11.xml><?xml version="1.0" encoding="utf-8"?>
<ds:datastoreItem xmlns:ds="http://schemas.openxmlformats.org/officeDocument/2006/customXml" ds:itemID="{E3D382D5-B01E-40AF-BCFA-6B2DCA9C802F}">
  <ds:schemaRefs/>
</ds:datastoreItem>
</file>

<file path=customXml/itemProps12.xml><?xml version="1.0" encoding="utf-8"?>
<ds:datastoreItem xmlns:ds="http://schemas.openxmlformats.org/officeDocument/2006/customXml" ds:itemID="{39784B48-2F0D-4D5C-85AC-0F6C8D383958}">
  <ds:schemaRefs/>
</ds:datastoreItem>
</file>

<file path=customXml/itemProps13.xml><?xml version="1.0" encoding="utf-8"?>
<ds:datastoreItem xmlns:ds="http://schemas.openxmlformats.org/officeDocument/2006/customXml" ds:itemID="{2C48D2A5-D46F-4402-94C2-7C771042B6BE}">
  <ds:schemaRefs/>
</ds:datastoreItem>
</file>

<file path=customXml/itemProps14.xml><?xml version="1.0" encoding="utf-8"?>
<ds:datastoreItem xmlns:ds="http://schemas.openxmlformats.org/officeDocument/2006/customXml" ds:itemID="{38512B54-15E0-42CA-92D2-6678260F9AED}">
  <ds:schemaRefs/>
</ds:datastoreItem>
</file>

<file path=customXml/itemProps15.xml><?xml version="1.0" encoding="utf-8"?>
<ds:datastoreItem xmlns:ds="http://schemas.openxmlformats.org/officeDocument/2006/customXml" ds:itemID="{3E711774-95B6-4A82-984E-8287B4BFC2D7}">
  <ds:schemaRefs/>
</ds:datastoreItem>
</file>

<file path=customXml/itemProps16.xml><?xml version="1.0" encoding="utf-8"?>
<ds:datastoreItem xmlns:ds="http://schemas.openxmlformats.org/officeDocument/2006/customXml" ds:itemID="{C0CFDE4F-EE17-40AB-BBE0-A28B70674B90}">
  <ds:schemaRefs/>
</ds:datastoreItem>
</file>

<file path=customXml/itemProps2.xml><?xml version="1.0" encoding="utf-8"?>
<ds:datastoreItem xmlns:ds="http://schemas.openxmlformats.org/officeDocument/2006/customXml" ds:itemID="{2B27D2BE-DB0C-442A-9B9A-319DB9737AF5}">
  <ds:schemaRefs/>
</ds:datastoreItem>
</file>

<file path=customXml/itemProps3.xml><?xml version="1.0" encoding="utf-8"?>
<ds:datastoreItem xmlns:ds="http://schemas.openxmlformats.org/officeDocument/2006/customXml" ds:itemID="{8C31DAE3-5F21-4DCF-A926-47905889BF68}">
  <ds:schemaRefs/>
</ds:datastoreItem>
</file>

<file path=customXml/itemProps4.xml><?xml version="1.0" encoding="utf-8"?>
<ds:datastoreItem xmlns:ds="http://schemas.openxmlformats.org/officeDocument/2006/customXml" ds:itemID="{8D8841E1-42F6-43F1-9C7C-56E9C790C1FB}">
  <ds:schemaRefs/>
</ds:datastoreItem>
</file>

<file path=customXml/itemProps5.xml><?xml version="1.0" encoding="utf-8"?>
<ds:datastoreItem xmlns:ds="http://schemas.openxmlformats.org/officeDocument/2006/customXml" ds:itemID="{9DE93DF6-EED4-443F-BEFB-DF5CA26D3E86}">
  <ds:schemaRefs/>
</ds:datastoreItem>
</file>

<file path=customXml/itemProps6.xml><?xml version="1.0" encoding="utf-8"?>
<ds:datastoreItem xmlns:ds="http://schemas.openxmlformats.org/officeDocument/2006/customXml" ds:itemID="{E79C05DC-125D-4105-978D-57DCAE16C8F3}">
  <ds:schemaRefs/>
</ds:datastoreItem>
</file>

<file path=customXml/itemProps7.xml><?xml version="1.0" encoding="utf-8"?>
<ds:datastoreItem xmlns:ds="http://schemas.openxmlformats.org/officeDocument/2006/customXml" ds:itemID="{520A2E4E-0DE2-41D8-A1F3-4E044C06BDA1}">
  <ds:schemaRefs/>
</ds:datastoreItem>
</file>

<file path=customXml/itemProps8.xml><?xml version="1.0" encoding="utf-8"?>
<ds:datastoreItem xmlns:ds="http://schemas.openxmlformats.org/officeDocument/2006/customXml" ds:itemID="{C88B5BDA-65CD-4546-BFEC-E1CF42D55711}">
  <ds:schemaRefs/>
</ds:datastoreItem>
</file>

<file path=customXml/itemProps9.xml><?xml version="1.0" encoding="utf-8"?>
<ds:datastoreItem xmlns:ds="http://schemas.openxmlformats.org/officeDocument/2006/customXml" ds:itemID="{445DC530-7859-4056-894E-08F6F82B9DD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2024-06-03T15:52:22Z</dcterms:modified>
</cp:coreProperties>
</file>