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maria_pintos\Desktop\"/>
    </mc:Choice>
  </mc:AlternateContent>
  <bookViews>
    <workbookView showSheetTabs="0" xWindow="0" yWindow="0" windowWidth="24000" windowHeight="9330"/>
  </bookViews>
  <sheets>
    <sheet name="Resumen" sheetId="23" r:id="rId1"/>
    <sheet name="1" sheetId="20" r:id="rId2"/>
    <sheet name="2" sheetId="21" r:id="rId3"/>
    <sheet name="TD inf" sheetId="24" state="hidden" r:id="rId4"/>
    <sheet name="Base1" sheetId="1" state="hidden" r:id="rId5"/>
    <sheet name="Situfin serie mensual" sheetId="3" state="hidden" r:id="rId6"/>
    <sheet name="Aux" sheetId="2" state="hidden" r:id="rId7"/>
  </sheets>
  <externalReferences>
    <externalReference r:id="rId8"/>
  </externalReferences>
  <definedNames>
    <definedName name="_xlcn.WorksheetConnection_DashboardSITUFINDiciembre2019v4.xlsxDatos11" hidden="1">Datos1[]</definedName>
    <definedName name="_xlcn.WorksheetConnection_DashboardSITUFINJunio2020.xlsxTabla21" hidden="1">Tabla2[]</definedName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'1'!$A$1:$H$100</definedName>
    <definedName name="cambio" localSheetId="5">[1]Aux!$G$3:$H$20</definedName>
    <definedName name="cambio">Aux!$G$3:$H$20</definedName>
    <definedName name="Meses" localSheetId="5">[1]Aux!$A$3:$B$14</definedName>
    <definedName name="Meses">Aux!$A$3:$B$14</definedName>
    <definedName name="PIBNOMG" localSheetId="5">[1]Aux!$D$2:$E$19</definedName>
    <definedName name="PIBNOMG">Aux!$D$2:$E$24</definedName>
    <definedName name="SegmentaciónDeDatos_Mes">#N/A</definedName>
  </definedNames>
  <calcPr calcId="162913"/>
  <pivotCaches>
    <pivotCache cacheId="0" r:id="rId9"/>
    <pivotCache cacheId="1" r:id="rId10"/>
    <pivotCache cacheId="2" r:id="rId11"/>
    <pivotCache cacheId="3" r:id="rId12"/>
    <pivotCache cacheId="4" r:id="rId13"/>
    <pivotCache cacheId="5" r:id="rId14"/>
  </pivotCaches>
  <extLst>
    <ext xmlns:x14="http://schemas.microsoft.com/office/spreadsheetml/2009/9/main" uri="{876F7934-8845-4945-9796-88D515C7AA90}">
      <x14:pivotCaches>
        <pivotCache cacheId="6" r:id="rId15"/>
      </x14:pivotCaches>
    </ext>
    <ext xmlns:x14="http://schemas.microsoft.com/office/spreadsheetml/2009/9/main" uri="{BBE1A952-AA13-448e-AADC-164F8A28A991}">
      <x14:slicerCaches>
        <x14:slicerCache r:id="rId1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2" name="Meses" connection="WorksheetConnection_Dashboard SITUFIN Junio 2020.xlsx!Tabla2"/>
          <x15:modelTable id="Datos1" name="Datos1" connection="WorksheetConnection_Dashboard SITUFIN Diciembre 2019 v4.xlsx!Datos1"/>
          <x15:modelTable id="Calendario" name="Calendario" connection="Conexión"/>
        </x15:modelTables>
        <x15:modelRelationships>
          <x15:modelRelationship fromTable="Datos1" fromColumn="Periodo" toTable="Calendario" toColumn="Date"/>
          <x15:modelRelationship fromTable="Calendario" fromColumn="Número de mes" toTable="Meses" toColumn="Nro.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8" i="20" l="1"/>
  <c r="N205" i="1" l="1"/>
  <c r="N204" i="1"/>
  <c r="N203" i="1"/>
  <c r="N202" i="1"/>
  <c r="N201" i="1"/>
  <c r="N200" i="1"/>
  <c r="N199" i="1"/>
  <c r="N198" i="1"/>
  <c r="N197" i="1"/>
  <c r="N196" i="1"/>
  <c r="N195" i="1"/>
  <c r="C57" i="20" l="1"/>
  <c r="C58" i="20"/>
  <c r="C59" i="20"/>
  <c r="D59" i="20" s="1"/>
  <c r="B57" i="21"/>
  <c r="C57" i="21"/>
  <c r="D57" i="21"/>
  <c r="E57" i="21"/>
  <c r="F57" i="21"/>
  <c r="G57" i="21"/>
  <c r="H57" i="21"/>
  <c r="I57" i="21"/>
  <c r="B58" i="21"/>
  <c r="C58" i="21"/>
  <c r="D58" i="21"/>
  <c r="E58" i="21"/>
  <c r="F58" i="21"/>
  <c r="G58" i="21"/>
  <c r="H58" i="21"/>
  <c r="I58" i="21"/>
  <c r="B59" i="21"/>
  <c r="C59" i="21"/>
  <c r="D59" i="21"/>
  <c r="E59" i="21"/>
  <c r="F59" i="21"/>
  <c r="G59" i="21"/>
  <c r="H59" i="21"/>
  <c r="I59" i="21"/>
  <c r="D57" i="20" l="1"/>
  <c r="D58" i="20"/>
  <c r="N59" i="21"/>
  <c r="F59" i="20" s="1"/>
  <c r="G59" i="20" s="1"/>
  <c r="N57" i="21"/>
  <c r="F57" i="20" s="1"/>
  <c r="G57" i="20" s="1"/>
  <c r="N58" i="21"/>
  <c r="F58" i="20" s="1"/>
  <c r="G58" i="20" s="1"/>
  <c r="Q25" i="24"/>
  <c r="H57" i="20" l="1"/>
  <c r="H58" i="20"/>
  <c r="H59" i="20"/>
  <c r="C98" i="20"/>
  <c r="C97" i="20"/>
  <c r="C96" i="20"/>
  <c r="C95" i="20"/>
  <c r="C94" i="20"/>
  <c r="C93" i="20"/>
  <c r="C92" i="20"/>
  <c r="C91" i="20"/>
  <c r="C90" i="20"/>
  <c r="D90" i="20" s="1"/>
  <c r="C89" i="20"/>
  <c r="C88" i="20"/>
  <c r="C87" i="20"/>
  <c r="C86" i="20"/>
  <c r="C85" i="20"/>
  <c r="C84" i="20"/>
  <c r="C83" i="20"/>
  <c r="C82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2" i="20"/>
  <c r="C10" i="20"/>
  <c r="BT214" i="1"/>
  <c r="CF214" i="1" s="1"/>
  <c r="BL214" i="1"/>
  <c r="BK214" i="1"/>
  <c r="BJ214" i="1"/>
  <c r="BI214" i="1"/>
  <c r="BF214" i="1"/>
  <c r="BE214" i="1"/>
  <c r="AW214" i="1"/>
  <c r="BD214" i="1" s="1"/>
  <c r="AP214" i="1"/>
  <c r="AG214" i="1"/>
  <c r="AO214" i="1" s="1"/>
  <c r="AE214" i="1"/>
  <c r="AC214" i="1"/>
  <c r="AB214" i="1"/>
  <c r="Z214" i="1"/>
  <c r="X214" i="1"/>
  <c r="V214" i="1"/>
  <c r="N214" i="1"/>
  <c r="G214" i="1"/>
  <c r="C214" i="1"/>
  <c r="D214" i="1"/>
  <c r="CS214" i="1"/>
  <c r="CH214" i="1" l="1"/>
  <c r="F214" i="1"/>
  <c r="AH214" i="1" s="1"/>
  <c r="E214" i="1"/>
  <c r="BR214" i="1" l="1"/>
  <c r="AD214" i="1"/>
  <c r="CA214" i="1"/>
  <c r="AQ214" i="1"/>
  <c r="H214" i="1"/>
  <c r="BH214" i="1"/>
  <c r="O214" i="1"/>
  <c r="AF214" i="1"/>
  <c r="CP214" i="1"/>
  <c r="BL213" i="1"/>
  <c r="CS3" i="1" l="1"/>
  <c r="CS4" i="1"/>
  <c r="CS5" i="1"/>
  <c r="CS6" i="1"/>
  <c r="CS7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S67" i="1"/>
  <c r="CS68" i="1"/>
  <c r="CS69" i="1"/>
  <c r="CS70" i="1"/>
  <c r="CS71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120" i="1"/>
  <c r="CS121" i="1"/>
  <c r="CS122" i="1"/>
  <c r="CS123" i="1"/>
  <c r="CS124" i="1"/>
  <c r="CS125" i="1"/>
  <c r="CS126" i="1"/>
  <c r="CS127" i="1"/>
  <c r="CS128" i="1"/>
  <c r="CS129" i="1"/>
  <c r="CS130" i="1"/>
  <c r="CS131" i="1"/>
  <c r="CS132" i="1"/>
  <c r="CS133" i="1"/>
  <c r="CS134" i="1"/>
  <c r="CS135" i="1"/>
  <c r="CS136" i="1"/>
  <c r="CS137" i="1"/>
  <c r="CS138" i="1"/>
  <c r="CS139" i="1"/>
  <c r="CS140" i="1"/>
  <c r="CS141" i="1"/>
  <c r="CS142" i="1"/>
  <c r="CS143" i="1"/>
  <c r="CS144" i="1"/>
  <c r="CS145" i="1"/>
  <c r="CS146" i="1"/>
  <c r="CS147" i="1"/>
  <c r="CS148" i="1"/>
  <c r="CS149" i="1"/>
  <c r="CS150" i="1"/>
  <c r="CS151" i="1"/>
  <c r="CS152" i="1"/>
  <c r="CS153" i="1"/>
  <c r="CS154" i="1"/>
  <c r="CS155" i="1"/>
  <c r="CS156" i="1"/>
  <c r="CS157" i="1"/>
  <c r="CS158" i="1"/>
  <c r="CS159" i="1"/>
  <c r="CS160" i="1"/>
  <c r="CS161" i="1"/>
  <c r="CS162" i="1"/>
  <c r="CS163" i="1"/>
  <c r="CS164" i="1"/>
  <c r="CS165" i="1"/>
  <c r="CS166" i="1"/>
  <c r="CS167" i="1"/>
  <c r="CS168" i="1"/>
  <c r="CS169" i="1"/>
  <c r="CS170" i="1"/>
  <c r="CS171" i="1"/>
  <c r="CS172" i="1"/>
  <c r="CS173" i="1"/>
  <c r="CS174" i="1"/>
  <c r="CS175" i="1"/>
  <c r="CS176" i="1"/>
  <c r="CS177" i="1"/>
  <c r="CS178" i="1"/>
  <c r="CS179" i="1"/>
  <c r="CS180" i="1"/>
  <c r="CS181" i="1"/>
  <c r="CS182" i="1"/>
  <c r="CS183" i="1"/>
  <c r="CS184" i="1"/>
  <c r="CS185" i="1"/>
  <c r="CS186" i="1"/>
  <c r="CS187" i="1"/>
  <c r="CS188" i="1"/>
  <c r="CS189" i="1"/>
  <c r="CS190" i="1"/>
  <c r="CS191" i="1"/>
  <c r="CS192" i="1"/>
  <c r="CS193" i="1"/>
  <c r="CS194" i="1"/>
  <c r="CS195" i="1"/>
  <c r="CS196" i="1"/>
  <c r="CS197" i="1"/>
  <c r="CS198" i="1"/>
  <c r="CS199" i="1"/>
  <c r="CS200" i="1"/>
  <c r="CS201" i="1"/>
  <c r="CS202" i="1"/>
  <c r="CS203" i="1"/>
  <c r="CS204" i="1"/>
  <c r="CS205" i="1"/>
  <c r="CS206" i="1"/>
  <c r="CS207" i="1"/>
  <c r="CS208" i="1"/>
  <c r="CS209" i="1"/>
  <c r="CY213" i="1"/>
  <c r="CW213" i="1" l="1"/>
  <c r="CX213" i="1"/>
  <c r="CZ213" i="1"/>
  <c r="BT213" i="1"/>
  <c r="BW213" i="1" s="1"/>
  <c r="BK213" i="1"/>
  <c r="BJ213" i="1"/>
  <c r="BI213" i="1"/>
  <c r="BF213" i="1"/>
  <c r="BE213" i="1"/>
  <c r="AW213" i="1"/>
  <c r="BD213" i="1" s="1"/>
  <c r="AP213" i="1"/>
  <c r="AT213" i="1" s="1"/>
  <c r="AG213" i="1"/>
  <c r="AO213" i="1" s="1"/>
  <c r="AE213" i="1"/>
  <c r="AC213" i="1"/>
  <c r="AB213" i="1"/>
  <c r="Z213" i="1"/>
  <c r="X213" i="1"/>
  <c r="V213" i="1"/>
  <c r="N213" i="1"/>
  <c r="R213" i="1" s="1"/>
  <c r="G213" i="1"/>
  <c r="L213" i="1" s="1"/>
  <c r="C213" i="1"/>
  <c r="D213" i="1"/>
  <c r="CS213" i="1" l="1"/>
  <c r="AZ213" i="1"/>
  <c r="CF213" i="1"/>
  <c r="CH213" i="1"/>
  <c r="F213" i="1"/>
  <c r="AH213" i="1" s="1"/>
  <c r="E213" i="1"/>
  <c r="H213" i="1" l="1"/>
  <c r="O213" i="1"/>
  <c r="CA213" i="1"/>
  <c r="BR213" i="1"/>
  <c r="AF213" i="1"/>
  <c r="BH213" i="1"/>
  <c r="AQ213" i="1"/>
  <c r="AD213" i="1"/>
  <c r="CP213" i="1"/>
  <c r="C15" i="21"/>
  <c r="D15" i="21"/>
  <c r="E15" i="21"/>
  <c r="F15" i="21"/>
  <c r="G15" i="21"/>
  <c r="H15" i="21"/>
  <c r="I15" i="21"/>
  <c r="J15" i="21"/>
  <c r="K15" i="21"/>
  <c r="L15" i="21"/>
  <c r="M15" i="21"/>
  <c r="C16" i="21"/>
  <c r="D16" i="21"/>
  <c r="E16" i="21"/>
  <c r="F16" i="21"/>
  <c r="G16" i="21"/>
  <c r="H16" i="21"/>
  <c r="I16" i="21"/>
  <c r="J16" i="21"/>
  <c r="K16" i="21"/>
  <c r="L16" i="21"/>
  <c r="M16" i="21"/>
  <c r="C17" i="21"/>
  <c r="D17" i="21"/>
  <c r="E17" i="21"/>
  <c r="F17" i="21"/>
  <c r="G17" i="21"/>
  <c r="H17" i="21"/>
  <c r="I17" i="21"/>
  <c r="J17" i="21"/>
  <c r="K17" i="21"/>
  <c r="L17" i="21"/>
  <c r="M17" i="21"/>
  <c r="C18" i="21"/>
  <c r="D18" i="21"/>
  <c r="E18" i="21"/>
  <c r="F18" i="21"/>
  <c r="G18" i="21"/>
  <c r="H18" i="21"/>
  <c r="I18" i="21"/>
  <c r="J18" i="21"/>
  <c r="K18" i="21"/>
  <c r="L18" i="21"/>
  <c r="M18" i="21"/>
  <c r="C19" i="21"/>
  <c r="D19" i="21"/>
  <c r="E19" i="21"/>
  <c r="F19" i="21"/>
  <c r="G19" i="21"/>
  <c r="H19" i="21"/>
  <c r="I19" i="21"/>
  <c r="J19" i="21"/>
  <c r="K19" i="21"/>
  <c r="L19" i="21"/>
  <c r="M19" i="21"/>
  <c r="C20" i="21"/>
  <c r="D20" i="21"/>
  <c r="E20" i="21"/>
  <c r="F20" i="21"/>
  <c r="G20" i="21"/>
  <c r="H20" i="21"/>
  <c r="I20" i="21"/>
  <c r="J20" i="21"/>
  <c r="K20" i="21"/>
  <c r="L20" i="21"/>
  <c r="M20" i="21"/>
  <c r="C21" i="21"/>
  <c r="D21" i="21"/>
  <c r="E21" i="21"/>
  <c r="F21" i="21"/>
  <c r="G21" i="21"/>
  <c r="H21" i="21"/>
  <c r="I21" i="21"/>
  <c r="J21" i="21"/>
  <c r="K21" i="21"/>
  <c r="L21" i="21"/>
  <c r="M21" i="21"/>
  <c r="C22" i="21"/>
  <c r="D22" i="21"/>
  <c r="E22" i="21"/>
  <c r="F22" i="21"/>
  <c r="G22" i="21"/>
  <c r="H22" i="21"/>
  <c r="I22" i="21"/>
  <c r="J22" i="21"/>
  <c r="K22" i="21"/>
  <c r="L22" i="21"/>
  <c r="M22" i="21"/>
  <c r="C23" i="21"/>
  <c r="D23" i="21"/>
  <c r="E23" i="21"/>
  <c r="F23" i="21"/>
  <c r="G23" i="21"/>
  <c r="H23" i="21"/>
  <c r="I23" i="21"/>
  <c r="J23" i="21"/>
  <c r="K23" i="21"/>
  <c r="L23" i="21"/>
  <c r="M23" i="21"/>
  <c r="C24" i="21"/>
  <c r="D24" i="21"/>
  <c r="E24" i="21"/>
  <c r="F24" i="21"/>
  <c r="G24" i="21"/>
  <c r="H24" i="21"/>
  <c r="I24" i="21"/>
  <c r="J24" i="21"/>
  <c r="K24" i="21"/>
  <c r="L24" i="21"/>
  <c r="M24" i="21"/>
  <c r="C25" i="21"/>
  <c r="D25" i="21"/>
  <c r="E25" i="21"/>
  <c r="F25" i="21"/>
  <c r="G25" i="21"/>
  <c r="H25" i="21"/>
  <c r="I25" i="21"/>
  <c r="J25" i="21"/>
  <c r="K25" i="21"/>
  <c r="L25" i="21"/>
  <c r="M25" i="21"/>
  <c r="C26" i="21"/>
  <c r="D26" i="21"/>
  <c r="E26" i="21"/>
  <c r="F26" i="21"/>
  <c r="G26" i="21"/>
  <c r="H26" i="21"/>
  <c r="I26" i="21"/>
  <c r="J26" i="21"/>
  <c r="K26" i="21"/>
  <c r="L26" i="21"/>
  <c r="M26" i="21"/>
  <c r="C27" i="21"/>
  <c r="D27" i="21"/>
  <c r="E27" i="21"/>
  <c r="F27" i="21"/>
  <c r="G27" i="21"/>
  <c r="H27" i="21"/>
  <c r="I27" i="21"/>
  <c r="J27" i="21"/>
  <c r="K27" i="21"/>
  <c r="L27" i="21"/>
  <c r="M27" i="21"/>
  <c r="C28" i="21"/>
  <c r="D28" i="21"/>
  <c r="E28" i="21"/>
  <c r="F28" i="21"/>
  <c r="G28" i="21"/>
  <c r="H28" i="21"/>
  <c r="I28" i="21"/>
  <c r="J28" i="21"/>
  <c r="K28" i="21"/>
  <c r="L28" i="21"/>
  <c r="M28" i="21"/>
  <c r="C29" i="21"/>
  <c r="D29" i="21"/>
  <c r="E29" i="21"/>
  <c r="F29" i="21"/>
  <c r="G29" i="21"/>
  <c r="H29" i="21"/>
  <c r="I29" i="21"/>
  <c r="J29" i="21"/>
  <c r="K29" i="21"/>
  <c r="L29" i="21"/>
  <c r="M29" i="21"/>
  <c r="C30" i="21"/>
  <c r="D30" i="21"/>
  <c r="E30" i="21"/>
  <c r="F30" i="21"/>
  <c r="G30" i="21"/>
  <c r="H30" i="21"/>
  <c r="I30" i="21"/>
  <c r="J30" i="21"/>
  <c r="K30" i="21"/>
  <c r="L30" i="21"/>
  <c r="M30" i="21"/>
  <c r="C31" i="21"/>
  <c r="D31" i="21"/>
  <c r="E31" i="21"/>
  <c r="F31" i="21"/>
  <c r="G31" i="21"/>
  <c r="H31" i="21"/>
  <c r="I31" i="21"/>
  <c r="J31" i="21"/>
  <c r="K31" i="21"/>
  <c r="L31" i="21"/>
  <c r="M31" i="21"/>
  <c r="C32" i="21"/>
  <c r="D32" i="21"/>
  <c r="E32" i="21"/>
  <c r="F32" i="21"/>
  <c r="G32" i="21"/>
  <c r="H32" i="21"/>
  <c r="I32" i="21"/>
  <c r="J32" i="21"/>
  <c r="K32" i="21"/>
  <c r="L32" i="21"/>
  <c r="M32" i="21"/>
  <c r="C33" i="21"/>
  <c r="D33" i="21"/>
  <c r="E33" i="21"/>
  <c r="F33" i="21"/>
  <c r="G33" i="21"/>
  <c r="H33" i="21"/>
  <c r="I33" i="21"/>
  <c r="J33" i="21"/>
  <c r="K33" i="21"/>
  <c r="L33" i="21"/>
  <c r="M33" i="21"/>
  <c r="C34" i="21"/>
  <c r="D34" i="21"/>
  <c r="E34" i="21"/>
  <c r="F34" i="21"/>
  <c r="G34" i="21"/>
  <c r="H34" i="21"/>
  <c r="I34" i="21"/>
  <c r="J34" i="21"/>
  <c r="K34" i="21"/>
  <c r="L34" i="21"/>
  <c r="M34" i="21"/>
  <c r="C35" i="21"/>
  <c r="D35" i="21"/>
  <c r="E35" i="21"/>
  <c r="F35" i="21"/>
  <c r="G35" i="21"/>
  <c r="H35" i="21"/>
  <c r="I35" i="21"/>
  <c r="J35" i="21"/>
  <c r="K35" i="21"/>
  <c r="L35" i="21"/>
  <c r="M35" i="21"/>
  <c r="C36" i="21"/>
  <c r="D36" i="21"/>
  <c r="E36" i="21"/>
  <c r="F36" i="21"/>
  <c r="G36" i="21"/>
  <c r="H36" i="21"/>
  <c r="I36" i="21"/>
  <c r="J36" i="21"/>
  <c r="K36" i="21"/>
  <c r="L36" i="21"/>
  <c r="M36" i="21"/>
  <c r="C37" i="21"/>
  <c r="D37" i="21"/>
  <c r="E37" i="21"/>
  <c r="F37" i="21"/>
  <c r="G37" i="21"/>
  <c r="H37" i="21"/>
  <c r="I37" i="21"/>
  <c r="J37" i="21"/>
  <c r="K37" i="21"/>
  <c r="L37" i="21"/>
  <c r="M37" i="21"/>
  <c r="C38" i="21"/>
  <c r="D38" i="21"/>
  <c r="E38" i="21"/>
  <c r="F38" i="21"/>
  <c r="G38" i="21"/>
  <c r="H38" i="21"/>
  <c r="I38" i="21"/>
  <c r="J38" i="21"/>
  <c r="K38" i="21"/>
  <c r="L38" i="21"/>
  <c r="M38" i="21"/>
  <c r="C39" i="21"/>
  <c r="D39" i="21"/>
  <c r="E39" i="21"/>
  <c r="F39" i="21"/>
  <c r="G39" i="21"/>
  <c r="H39" i="21"/>
  <c r="I39" i="21"/>
  <c r="J39" i="21"/>
  <c r="K39" i="21"/>
  <c r="L39" i="21"/>
  <c r="M39" i="21"/>
  <c r="C40" i="21"/>
  <c r="D40" i="21"/>
  <c r="E40" i="21"/>
  <c r="F40" i="21"/>
  <c r="G40" i="21"/>
  <c r="H40" i="21"/>
  <c r="I40" i="21"/>
  <c r="J40" i="21"/>
  <c r="K40" i="21"/>
  <c r="L40" i="21"/>
  <c r="M40" i="21"/>
  <c r="C41" i="21"/>
  <c r="D41" i="21"/>
  <c r="E41" i="21"/>
  <c r="F41" i="21"/>
  <c r="G41" i="21"/>
  <c r="H41" i="21"/>
  <c r="I41" i="21"/>
  <c r="J41" i="21"/>
  <c r="K41" i="21"/>
  <c r="L41" i="21"/>
  <c r="M41" i="21"/>
  <c r="C42" i="21"/>
  <c r="D42" i="21"/>
  <c r="E42" i="21"/>
  <c r="F42" i="21"/>
  <c r="G42" i="21"/>
  <c r="H42" i="21"/>
  <c r="I42" i="21"/>
  <c r="J42" i="21"/>
  <c r="K42" i="21"/>
  <c r="L42" i="21"/>
  <c r="M42" i="21"/>
  <c r="C43" i="21"/>
  <c r="D43" i="21"/>
  <c r="E43" i="21"/>
  <c r="F43" i="21"/>
  <c r="G43" i="21"/>
  <c r="H43" i="21"/>
  <c r="I43" i="21"/>
  <c r="J43" i="21"/>
  <c r="K43" i="21"/>
  <c r="L43" i="21"/>
  <c r="M43" i="21"/>
  <c r="C44" i="21"/>
  <c r="D44" i="21"/>
  <c r="E44" i="21"/>
  <c r="F44" i="21"/>
  <c r="G44" i="21"/>
  <c r="H44" i="21"/>
  <c r="I44" i="21"/>
  <c r="J44" i="21"/>
  <c r="K44" i="21"/>
  <c r="L44" i="21"/>
  <c r="M44" i="21"/>
  <c r="C45" i="21"/>
  <c r="D45" i="21"/>
  <c r="E45" i="21"/>
  <c r="F45" i="21"/>
  <c r="G45" i="21"/>
  <c r="H45" i="21"/>
  <c r="I45" i="21"/>
  <c r="J45" i="21"/>
  <c r="K45" i="21"/>
  <c r="L45" i="21"/>
  <c r="M45" i="21"/>
  <c r="C46" i="21"/>
  <c r="D46" i="21"/>
  <c r="E46" i="21"/>
  <c r="F46" i="21"/>
  <c r="G46" i="21"/>
  <c r="H46" i="21"/>
  <c r="I46" i="21"/>
  <c r="J46" i="21"/>
  <c r="K46" i="21"/>
  <c r="L46" i="21"/>
  <c r="M46" i="21"/>
  <c r="C47" i="21"/>
  <c r="D47" i="21"/>
  <c r="E47" i="21"/>
  <c r="F47" i="21"/>
  <c r="G47" i="21"/>
  <c r="H47" i="21"/>
  <c r="I47" i="21"/>
  <c r="J47" i="21"/>
  <c r="K47" i="21"/>
  <c r="L47" i="21"/>
  <c r="M47" i="21"/>
  <c r="C48" i="21"/>
  <c r="D48" i="21"/>
  <c r="E48" i="21"/>
  <c r="F48" i="21"/>
  <c r="G48" i="21"/>
  <c r="H48" i="21"/>
  <c r="I48" i="21"/>
  <c r="J48" i="21"/>
  <c r="K48" i="21"/>
  <c r="L48" i="21"/>
  <c r="M48" i="21"/>
  <c r="C49" i="21"/>
  <c r="D49" i="21"/>
  <c r="E49" i="21"/>
  <c r="F49" i="21"/>
  <c r="G49" i="21"/>
  <c r="H49" i="21"/>
  <c r="I49" i="21"/>
  <c r="J49" i="21"/>
  <c r="K49" i="21"/>
  <c r="L49" i="21"/>
  <c r="M49" i="21"/>
  <c r="C50" i="21"/>
  <c r="D50" i="21"/>
  <c r="E50" i="21"/>
  <c r="F50" i="21"/>
  <c r="G50" i="21"/>
  <c r="H50" i="21"/>
  <c r="I50" i="21"/>
  <c r="J50" i="21"/>
  <c r="K50" i="21"/>
  <c r="L50" i="21"/>
  <c r="M50" i="21"/>
  <c r="C51" i="21"/>
  <c r="D51" i="21"/>
  <c r="E51" i="21"/>
  <c r="F51" i="21"/>
  <c r="G51" i="21"/>
  <c r="H51" i="21"/>
  <c r="I51" i="21"/>
  <c r="J51" i="21"/>
  <c r="K51" i="21"/>
  <c r="L51" i="21"/>
  <c r="M51" i="21"/>
  <c r="C52" i="21"/>
  <c r="D52" i="21"/>
  <c r="E52" i="21"/>
  <c r="F52" i="21"/>
  <c r="G52" i="21"/>
  <c r="H52" i="21"/>
  <c r="I52" i="21"/>
  <c r="J52" i="21"/>
  <c r="K52" i="21"/>
  <c r="L52" i="21"/>
  <c r="M52" i="21"/>
  <c r="C53" i="21"/>
  <c r="D53" i="21"/>
  <c r="E53" i="21"/>
  <c r="F53" i="21"/>
  <c r="G53" i="21"/>
  <c r="H53" i="21"/>
  <c r="I53" i="21"/>
  <c r="J53" i="21"/>
  <c r="K53" i="21"/>
  <c r="L53" i="21"/>
  <c r="M53" i="21"/>
  <c r="C54" i="21"/>
  <c r="D54" i="21"/>
  <c r="E54" i="21"/>
  <c r="F54" i="21"/>
  <c r="G54" i="21"/>
  <c r="H54" i="21"/>
  <c r="I54" i="21"/>
  <c r="J54" i="21"/>
  <c r="K54" i="21"/>
  <c r="L54" i="21"/>
  <c r="M54" i="21"/>
  <c r="C55" i="21"/>
  <c r="D55" i="21"/>
  <c r="E55" i="21"/>
  <c r="F55" i="21"/>
  <c r="G55" i="21"/>
  <c r="H55" i="21"/>
  <c r="I55" i="21"/>
  <c r="J55" i="21"/>
  <c r="K55" i="21"/>
  <c r="L55" i="21"/>
  <c r="M55" i="21"/>
  <c r="C56" i="21"/>
  <c r="D56" i="21"/>
  <c r="E56" i="21"/>
  <c r="F56" i="21"/>
  <c r="G56" i="21"/>
  <c r="H56" i="21"/>
  <c r="I56" i="21"/>
  <c r="J56" i="21"/>
  <c r="K56" i="21"/>
  <c r="L56" i="21"/>
  <c r="M56" i="21"/>
  <c r="C60" i="21"/>
  <c r="D60" i="21"/>
  <c r="E60" i="21"/>
  <c r="F60" i="21"/>
  <c r="G60" i="21"/>
  <c r="H60" i="21"/>
  <c r="I60" i="21"/>
  <c r="J60" i="21"/>
  <c r="K60" i="21"/>
  <c r="L60" i="21"/>
  <c r="M60" i="21"/>
  <c r="C61" i="21"/>
  <c r="D61" i="21"/>
  <c r="E61" i="21"/>
  <c r="F61" i="21"/>
  <c r="G61" i="21"/>
  <c r="H61" i="21"/>
  <c r="I61" i="21"/>
  <c r="J61" i="21"/>
  <c r="K61" i="21"/>
  <c r="L61" i="21"/>
  <c r="M61" i="21"/>
  <c r="C62" i="21"/>
  <c r="D62" i="21"/>
  <c r="E62" i="21"/>
  <c r="F62" i="21"/>
  <c r="G62" i="21"/>
  <c r="H62" i="21"/>
  <c r="I62" i="21"/>
  <c r="J62" i="21"/>
  <c r="K62" i="21"/>
  <c r="L62" i="21"/>
  <c r="M62" i="21"/>
  <c r="C63" i="21"/>
  <c r="D63" i="21"/>
  <c r="E63" i="21"/>
  <c r="F63" i="21"/>
  <c r="G63" i="21"/>
  <c r="H63" i="21"/>
  <c r="I63" i="21"/>
  <c r="J63" i="21"/>
  <c r="K63" i="21"/>
  <c r="L63" i="21"/>
  <c r="M63" i="21"/>
  <c r="C64" i="21"/>
  <c r="D64" i="21"/>
  <c r="E64" i="21"/>
  <c r="F64" i="21"/>
  <c r="G64" i="21"/>
  <c r="H64" i="21"/>
  <c r="I64" i="21"/>
  <c r="J64" i="21"/>
  <c r="K64" i="21"/>
  <c r="L64" i="21"/>
  <c r="M64" i="21"/>
  <c r="C65" i="21"/>
  <c r="D65" i="21"/>
  <c r="E65" i="21"/>
  <c r="F65" i="21"/>
  <c r="G65" i="21"/>
  <c r="H65" i="21"/>
  <c r="I65" i="21"/>
  <c r="J65" i="21"/>
  <c r="K65" i="21"/>
  <c r="L65" i="21"/>
  <c r="M65" i="21"/>
  <c r="C66" i="21"/>
  <c r="D66" i="21"/>
  <c r="E66" i="21"/>
  <c r="F66" i="21"/>
  <c r="G66" i="21"/>
  <c r="H66" i="21"/>
  <c r="I66" i="21"/>
  <c r="J66" i="21"/>
  <c r="K66" i="21"/>
  <c r="L66" i="21"/>
  <c r="M66" i="21"/>
  <c r="C67" i="21"/>
  <c r="D67" i="21"/>
  <c r="E67" i="21"/>
  <c r="F67" i="21"/>
  <c r="G67" i="21"/>
  <c r="H67" i="21"/>
  <c r="I67" i="21"/>
  <c r="J67" i="21"/>
  <c r="K67" i="21"/>
  <c r="L67" i="21"/>
  <c r="M67" i="21"/>
  <c r="C68" i="21"/>
  <c r="D68" i="21"/>
  <c r="E68" i="21"/>
  <c r="F68" i="21"/>
  <c r="G68" i="21"/>
  <c r="H68" i="21"/>
  <c r="I68" i="21"/>
  <c r="J68" i="21"/>
  <c r="K68" i="21"/>
  <c r="L68" i="21"/>
  <c r="M68" i="21"/>
  <c r="C69" i="21"/>
  <c r="D69" i="21"/>
  <c r="E69" i="21"/>
  <c r="F69" i="21"/>
  <c r="G69" i="21"/>
  <c r="H69" i="21"/>
  <c r="I69" i="21"/>
  <c r="J69" i="21"/>
  <c r="K69" i="21"/>
  <c r="L69" i="21"/>
  <c r="M69" i="21"/>
  <c r="C70" i="21"/>
  <c r="D70" i="21"/>
  <c r="E70" i="21"/>
  <c r="F70" i="21"/>
  <c r="G70" i="21"/>
  <c r="H70" i="21"/>
  <c r="I70" i="21"/>
  <c r="J70" i="21"/>
  <c r="K70" i="21"/>
  <c r="L70" i="21"/>
  <c r="M70" i="21"/>
  <c r="C71" i="21"/>
  <c r="D71" i="21"/>
  <c r="E71" i="21"/>
  <c r="F71" i="21"/>
  <c r="G71" i="21"/>
  <c r="H71" i="21"/>
  <c r="I71" i="21"/>
  <c r="J71" i="21"/>
  <c r="K71" i="21"/>
  <c r="L71" i="21"/>
  <c r="M71" i="21"/>
  <c r="C72" i="21"/>
  <c r="D72" i="21"/>
  <c r="E72" i="21"/>
  <c r="F72" i="21"/>
  <c r="G72" i="21"/>
  <c r="H72" i="21"/>
  <c r="I72" i="21"/>
  <c r="J72" i="21"/>
  <c r="K72" i="21"/>
  <c r="L72" i="21"/>
  <c r="M72" i="21"/>
  <c r="C73" i="21"/>
  <c r="D73" i="21"/>
  <c r="E73" i="21"/>
  <c r="F73" i="21"/>
  <c r="G73" i="21"/>
  <c r="H73" i="21"/>
  <c r="I73" i="21"/>
  <c r="J73" i="21"/>
  <c r="K73" i="21"/>
  <c r="L73" i="21"/>
  <c r="M73" i="21"/>
  <c r="C74" i="21"/>
  <c r="D74" i="21"/>
  <c r="E74" i="21"/>
  <c r="F74" i="21"/>
  <c r="G74" i="21"/>
  <c r="H74" i="21"/>
  <c r="I74" i="21"/>
  <c r="J74" i="21"/>
  <c r="K74" i="21"/>
  <c r="L74" i="21"/>
  <c r="M74" i="21"/>
  <c r="C75" i="21"/>
  <c r="D75" i="21"/>
  <c r="E75" i="21"/>
  <c r="F75" i="21"/>
  <c r="G75" i="21"/>
  <c r="H75" i="21"/>
  <c r="I75" i="21"/>
  <c r="J75" i="21"/>
  <c r="K75" i="21"/>
  <c r="L75" i="21"/>
  <c r="M75" i="21"/>
  <c r="C76" i="21"/>
  <c r="D76" i="21"/>
  <c r="E76" i="21"/>
  <c r="F76" i="21"/>
  <c r="G76" i="21"/>
  <c r="H76" i="21"/>
  <c r="I76" i="21"/>
  <c r="J76" i="21"/>
  <c r="K76" i="21"/>
  <c r="L76" i="21"/>
  <c r="M76" i="21"/>
  <c r="C77" i="21"/>
  <c r="D77" i="21"/>
  <c r="E77" i="21"/>
  <c r="F77" i="21"/>
  <c r="G77" i="21"/>
  <c r="H77" i="21"/>
  <c r="I77" i="21"/>
  <c r="J77" i="21"/>
  <c r="K77" i="21"/>
  <c r="L77" i="21"/>
  <c r="M77" i="21"/>
  <c r="C78" i="21"/>
  <c r="D78" i="21"/>
  <c r="E78" i="21"/>
  <c r="F78" i="21"/>
  <c r="G78" i="21"/>
  <c r="H78" i="21"/>
  <c r="I78" i="21"/>
  <c r="J78" i="21"/>
  <c r="K78" i="21"/>
  <c r="L78" i="21"/>
  <c r="M78" i="21"/>
  <c r="C79" i="21"/>
  <c r="D79" i="21"/>
  <c r="E79" i="21"/>
  <c r="F79" i="21"/>
  <c r="G79" i="21"/>
  <c r="H79" i="21"/>
  <c r="I79" i="21"/>
  <c r="J79" i="21"/>
  <c r="K79" i="21"/>
  <c r="L79" i="21"/>
  <c r="M79" i="21"/>
  <c r="C80" i="21"/>
  <c r="D80" i="21"/>
  <c r="E80" i="21"/>
  <c r="F80" i="21"/>
  <c r="G80" i="21"/>
  <c r="H80" i="21"/>
  <c r="I80" i="21"/>
  <c r="J80" i="21"/>
  <c r="K80" i="21"/>
  <c r="L80" i="21"/>
  <c r="M80" i="21"/>
  <c r="C82" i="21"/>
  <c r="D82" i="21"/>
  <c r="E82" i="21"/>
  <c r="F82" i="21"/>
  <c r="G82" i="21"/>
  <c r="H82" i="21"/>
  <c r="I82" i="21"/>
  <c r="J82" i="21"/>
  <c r="K82" i="21"/>
  <c r="L82" i="21"/>
  <c r="M82" i="21"/>
  <c r="C83" i="21"/>
  <c r="D83" i="21"/>
  <c r="E83" i="21"/>
  <c r="F83" i="21"/>
  <c r="G83" i="21"/>
  <c r="H83" i="21"/>
  <c r="I83" i="21"/>
  <c r="J83" i="21"/>
  <c r="K83" i="21"/>
  <c r="L83" i="21"/>
  <c r="M83" i="21"/>
  <c r="C84" i="21"/>
  <c r="D84" i="21"/>
  <c r="E84" i="21"/>
  <c r="F84" i="21"/>
  <c r="G84" i="21"/>
  <c r="H84" i="21"/>
  <c r="I84" i="21"/>
  <c r="J84" i="21"/>
  <c r="K84" i="21"/>
  <c r="L84" i="21"/>
  <c r="M84" i="21"/>
  <c r="C85" i="21"/>
  <c r="D85" i="21"/>
  <c r="E85" i="21"/>
  <c r="F85" i="21"/>
  <c r="G85" i="21"/>
  <c r="H85" i="21"/>
  <c r="I85" i="21"/>
  <c r="J85" i="21"/>
  <c r="K85" i="21"/>
  <c r="L85" i="21"/>
  <c r="M85" i="21"/>
  <c r="C86" i="21"/>
  <c r="D86" i="21"/>
  <c r="E86" i="21"/>
  <c r="F86" i="21"/>
  <c r="G86" i="21"/>
  <c r="H86" i="21"/>
  <c r="I86" i="21"/>
  <c r="J86" i="21"/>
  <c r="K86" i="21"/>
  <c r="L86" i="21"/>
  <c r="M86" i="21"/>
  <c r="C87" i="21"/>
  <c r="D87" i="21"/>
  <c r="E87" i="21"/>
  <c r="F87" i="21"/>
  <c r="G87" i="21"/>
  <c r="H87" i="21"/>
  <c r="I87" i="21"/>
  <c r="J87" i="21"/>
  <c r="K87" i="21"/>
  <c r="L87" i="21"/>
  <c r="M87" i="21"/>
  <c r="C88" i="21"/>
  <c r="D88" i="21"/>
  <c r="E88" i="21"/>
  <c r="F88" i="21"/>
  <c r="G88" i="21"/>
  <c r="H88" i="21"/>
  <c r="I88" i="21"/>
  <c r="J88" i="21"/>
  <c r="K88" i="21"/>
  <c r="L88" i="21"/>
  <c r="M88" i="21"/>
  <c r="C89" i="21"/>
  <c r="D89" i="21"/>
  <c r="E89" i="21"/>
  <c r="F89" i="21"/>
  <c r="G89" i="21"/>
  <c r="H89" i="21"/>
  <c r="I89" i="21"/>
  <c r="J89" i="21"/>
  <c r="K89" i="21"/>
  <c r="L89" i="21"/>
  <c r="M89" i="21"/>
  <c r="C90" i="21"/>
  <c r="D90" i="21"/>
  <c r="E90" i="21"/>
  <c r="F90" i="21"/>
  <c r="G90" i="21"/>
  <c r="H90" i="21"/>
  <c r="I90" i="21"/>
  <c r="J90" i="21"/>
  <c r="K90" i="21"/>
  <c r="L90" i="21"/>
  <c r="M90" i="21"/>
  <c r="C91" i="21"/>
  <c r="D91" i="21"/>
  <c r="E91" i="21"/>
  <c r="F91" i="21"/>
  <c r="G91" i="21"/>
  <c r="H91" i="21"/>
  <c r="I91" i="21"/>
  <c r="J91" i="21"/>
  <c r="K91" i="21"/>
  <c r="L91" i="21"/>
  <c r="M91" i="21"/>
  <c r="C92" i="21"/>
  <c r="D92" i="21"/>
  <c r="E92" i="21"/>
  <c r="F92" i="21"/>
  <c r="G92" i="21"/>
  <c r="H92" i="21"/>
  <c r="I92" i="21"/>
  <c r="J92" i="21"/>
  <c r="K92" i="21"/>
  <c r="L92" i="21"/>
  <c r="M92" i="21"/>
  <c r="C93" i="21"/>
  <c r="D93" i="21"/>
  <c r="E93" i="21"/>
  <c r="F93" i="21"/>
  <c r="G93" i="21"/>
  <c r="H93" i="21"/>
  <c r="I93" i="21"/>
  <c r="J93" i="21"/>
  <c r="K93" i="21"/>
  <c r="L93" i="21"/>
  <c r="M93" i="21"/>
  <c r="C94" i="21"/>
  <c r="D94" i="21"/>
  <c r="E94" i="21"/>
  <c r="F94" i="21"/>
  <c r="G94" i="21"/>
  <c r="H94" i="21"/>
  <c r="I94" i="21"/>
  <c r="J94" i="21"/>
  <c r="K94" i="21"/>
  <c r="L94" i="21"/>
  <c r="M94" i="21"/>
  <c r="C95" i="21"/>
  <c r="D95" i="21"/>
  <c r="E95" i="21"/>
  <c r="F95" i="21"/>
  <c r="G95" i="21"/>
  <c r="H95" i="21"/>
  <c r="I95" i="21"/>
  <c r="J95" i="21"/>
  <c r="K95" i="21"/>
  <c r="L95" i="21"/>
  <c r="M95" i="21"/>
  <c r="C96" i="21"/>
  <c r="D96" i="21"/>
  <c r="E96" i="21"/>
  <c r="F96" i="21"/>
  <c r="G96" i="21"/>
  <c r="H96" i="21"/>
  <c r="I96" i="21"/>
  <c r="J96" i="21"/>
  <c r="K96" i="21"/>
  <c r="L96" i="21"/>
  <c r="M96" i="21"/>
  <c r="C97" i="21"/>
  <c r="D97" i="21"/>
  <c r="E97" i="21"/>
  <c r="F97" i="21"/>
  <c r="G97" i="21"/>
  <c r="H97" i="21"/>
  <c r="I97" i="21"/>
  <c r="J97" i="21"/>
  <c r="K97" i="21"/>
  <c r="L97" i="21"/>
  <c r="M97" i="21"/>
  <c r="C98" i="21"/>
  <c r="D98" i="21"/>
  <c r="E98" i="21"/>
  <c r="F98" i="21"/>
  <c r="G98" i="21"/>
  <c r="H98" i="21"/>
  <c r="I98" i="21"/>
  <c r="J98" i="21"/>
  <c r="K98" i="21"/>
  <c r="L98" i="21"/>
  <c r="M98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C14" i="21"/>
  <c r="D14" i="21"/>
  <c r="E14" i="21"/>
  <c r="F14" i="21"/>
  <c r="G14" i="21"/>
  <c r="H14" i="21"/>
  <c r="I14" i="21"/>
  <c r="J14" i="21"/>
  <c r="K14" i="21"/>
  <c r="L14" i="21"/>
  <c r="M14" i="21"/>
  <c r="B14" i="21"/>
  <c r="C12" i="21"/>
  <c r="D12" i="21"/>
  <c r="E12" i="21"/>
  <c r="F12" i="21"/>
  <c r="G12" i="21"/>
  <c r="H12" i="21"/>
  <c r="I12" i="21"/>
  <c r="J12" i="21"/>
  <c r="K12" i="21"/>
  <c r="L12" i="21"/>
  <c r="M12" i="21"/>
  <c r="B12" i="21"/>
  <c r="C10" i="21"/>
  <c r="D10" i="21"/>
  <c r="E10" i="21"/>
  <c r="F10" i="21"/>
  <c r="G10" i="21"/>
  <c r="H10" i="21"/>
  <c r="I10" i="21"/>
  <c r="J10" i="21"/>
  <c r="K10" i="21"/>
  <c r="L10" i="21"/>
  <c r="M10" i="21"/>
  <c r="B10" i="21"/>
  <c r="F11" i="20"/>
  <c r="F13" i="20"/>
  <c r="F15" i="20"/>
  <c r="F34" i="20"/>
  <c r="F71" i="20"/>
  <c r="F73" i="20"/>
  <c r="F74" i="20"/>
  <c r="F80" i="20"/>
  <c r="F82" i="20"/>
  <c r="F89" i="20"/>
  <c r="F93" i="20"/>
  <c r="F96" i="20"/>
  <c r="F98" i="20"/>
  <c r="A37" i="23"/>
  <c r="A36" i="23"/>
  <c r="A35" i="23"/>
  <c r="A34" i="23"/>
  <c r="A33" i="23"/>
  <c r="A32" i="23"/>
  <c r="E12" i="23"/>
  <c r="E11" i="23"/>
  <c r="E10" i="23"/>
  <c r="E9" i="23"/>
  <c r="R6" i="24" l="1"/>
  <c r="Q6" i="24"/>
  <c r="R5" i="24"/>
  <c r="Q5" i="24"/>
  <c r="Q4" i="24"/>
  <c r="R4" i="24"/>
  <c r="R24" i="24"/>
  <c r="Q24" i="24"/>
  <c r="R23" i="24"/>
  <c r="Q23" i="24"/>
  <c r="R26" i="24"/>
  <c r="Q26" i="24"/>
  <c r="R25" i="24"/>
  <c r="R22" i="24"/>
  <c r="Q22" i="24"/>
  <c r="R21" i="24"/>
  <c r="Q21" i="24"/>
  <c r="R20" i="24"/>
  <c r="B37" i="23" s="1"/>
  <c r="Q20" i="24"/>
  <c r="C37" i="23" s="1"/>
  <c r="R19" i="24"/>
  <c r="B36" i="23" s="1"/>
  <c r="Q19" i="24"/>
  <c r="C36" i="23" s="1"/>
  <c r="R18" i="24"/>
  <c r="B35" i="23" s="1"/>
  <c r="Q18" i="24"/>
  <c r="C35" i="23" s="1"/>
  <c r="R17" i="24"/>
  <c r="B34" i="23" s="1"/>
  <c r="Q17" i="24"/>
  <c r="C34" i="23" s="1"/>
  <c r="R16" i="24"/>
  <c r="B33" i="23" s="1"/>
  <c r="Q16" i="24"/>
  <c r="C33" i="23" s="1"/>
  <c r="R15" i="24"/>
  <c r="B32" i="23" s="1"/>
  <c r="Q15" i="24"/>
  <c r="C32" i="23" s="1"/>
  <c r="R14" i="24"/>
  <c r="Q14" i="24"/>
  <c r="R13" i="24"/>
  <c r="F12" i="23" s="1"/>
  <c r="Q13" i="24"/>
  <c r="G12" i="23" s="1"/>
  <c r="R12" i="24"/>
  <c r="F11" i="23" s="1"/>
  <c r="Q12" i="24"/>
  <c r="G11" i="23" s="1"/>
  <c r="R11" i="24"/>
  <c r="F10" i="23" s="1"/>
  <c r="Q11" i="24"/>
  <c r="G10" i="23" s="1"/>
  <c r="R10" i="24"/>
  <c r="Q10" i="24"/>
  <c r="R9" i="24"/>
  <c r="Q9" i="24"/>
  <c r="R8" i="24"/>
  <c r="F9" i="23" s="1"/>
  <c r="Q8" i="24"/>
  <c r="G9" i="23" s="1"/>
  <c r="R7" i="24"/>
  <c r="F8" i="23" s="1"/>
  <c r="Q7" i="24"/>
  <c r="G8" i="23" s="1"/>
  <c r="C31" i="23" l="1"/>
  <c r="B31" i="23"/>
  <c r="D32" i="23"/>
  <c r="H8" i="23"/>
  <c r="H12" i="23"/>
  <c r="S7" i="24"/>
  <c r="D34" i="23"/>
  <c r="H10" i="23"/>
  <c r="H11" i="23"/>
  <c r="R27" i="24"/>
  <c r="D37" i="23"/>
  <c r="D36" i="23"/>
  <c r="D35" i="23"/>
  <c r="D33" i="23"/>
  <c r="H9" i="23"/>
  <c r="R28" i="24"/>
  <c r="S10" i="24"/>
  <c r="S24" i="24"/>
  <c r="S8" i="24"/>
  <c r="S21" i="24"/>
  <c r="Q28" i="24"/>
  <c r="S19" i="24"/>
  <c r="S9" i="24"/>
  <c r="Q27" i="24"/>
  <c r="S14" i="24"/>
  <c r="S15" i="24"/>
  <c r="S26" i="24"/>
  <c r="S25" i="24"/>
  <c r="S23" i="24"/>
  <c r="S22" i="24"/>
  <c r="S20" i="24"/>
  <c r="S18" i="24"/>
  <c r="S17" i="24"/>
  <c r="S16" i="24"/>
  <c r="S13" i="24"/>
  <c r="S12" i="24"/>
  <c r="S11" i="24"/>
  <c r="N97" i="21"/>
  <c r="F97" i="20" s="1"/>
  <c r="N95" i="21"/>
  <c r="F95" i="20" s="1"/>
  <c r="H95" i="20" s="1"/>
  <c r="N94" i="21"/>
  <c r="F94" i="20" s="1"/>
  <c r="G94" i="20" s="1"/>
  <c r="N92" i="21"/>
  <c r="F92" i="20" s="1"/>
  <c r="H92" i="20" s="1"/>
  <c r="N91" i="21"/>
  <c r="F91" i="20" s="1"/>
  <c r="H91" i="20" s="1"/>
  <c r="N90" i="21"/>
  <c r="F90" i="20" s="1"/>
  <c r="H90" i="20" s="1"/>
  <c r="N88" i="21"/>
  <c r="F88" i="20" s="1"/>
  <c r="H88" i="20" s="1"/>
  <c r="N87" i="21"/>
  <c r="F87" i="20" s="1"/>
  <c r="H87" i="20" s="1"/>
  <c r="N86" i="21"/>
  <c r="F86" i="20" s="1"/>
  <c r="G86" i="20" s="1"/>
  <c r="N85" i="21"/>
  <c r="F85" i="20" s="1"/>
  <c r="G85" i="20" s="1"/>
  <c r="N84" i="21"/>
  <c r="F84" i="20" s="1"/>
  <c r="G84" i="20" s="1"/>
  <c r="N83" i="21"/>
  <c r="F83" i="20" s="1"/>
  <c r="H83" i="20" s="1"/>
  <c r="N79" i="21"/>
  <c r="F79" i="20" s="1"/>
  <c r="G79" i="20" s="1"/>
  <c r="N78" i="21"/>
  <c r="F78" i="20" s="1"/>
  <c r="N77" i="21"/>
  <c r="F77" i="20" s="1"/>
  <c r="H77" i="20" s="1"/>
  <c r="N76" i="21"/>
  <c r="F76" i="20" s="1"/>
  <c r="G76" i="20" s="1"/>
  <c r="N75" i="21"/>
  <c r="F75" i="20" s="1"/>
  <c r="G75" i="20" s="1"/>
  <c r="N72" i="21"/>
  <c r="F72" i="20" s="1"/>
  <c r="G72" i="20" s="1"/>
  <c r="N70" i="21"/>
  <c r="F70" i="20" s="1"/>
  <c r="H70" i="20" s="1"/>
  <c r="N69" i="21"/>
  <c r="F69" i="20" s="1"/>
  <c r="G69" i="20" s="1"/>
  <c r="N68" i="21"/>
  <c r="F68" i="20" s="1"/>
  <c r="H68" i="20" s="1"/>
  <c r="N67" i="21"/>
  <c r="F67" i="20" s="1"/>
  <c r="G67" i="20" s="1"/>
  <c r="N66" i="21"/>
  <c r="F66" i="20" s="1"/>
  <c r="H66" i="20" s="1"/>
  <c r="N65" i="21"/>
  <c r="F65" i="20" s="1"/>
  <c r="G65" i="20" s="1"/>
  <c r="N64" i="21"/>
  <c r="F64" i="20" s="1"/>
  <c r="H64" i="20" s="1"/>
  <c r="N63" i="21"/>
  <c r="F63" i="20" s="1"/>
  <c r="G63" i="20" s="1"/>
  <c r="N62" i="21"/>
  <c r="F62" i="20" s="1"/>
  <c r="H62" i="20" s="1"/>
  <c r="N61" i="21"/>
  <c r="F61" i="20" s="1"/>
  <c r="H61" i="20" s="1"/>
  <c r="N60" i="21"/>
  <c r="F60" i="20" s="1"/>
  <c r="H60" i="20" s="1"/>
  <c r="N56" i="21"/>
  <c r="F56" i="20" s="1"/>
  <c r="H56" i="20" s="1"/>
  <c r="N55" i="21"/>
  <c r="F55" i="20" s="1"/>
  <c r="H55" i="20" s="1"/>
  <c r="N54" i="21"/>
  <c r="F54" i="20" s="1"/>
  <c r="H54" i="20" s="1"/>
  <c r="N53" i="21"/>
  <c r="F53" i="20" s="1"/>
  <c r="H53" i="20" s="1"/>
  <c r="N52" i="21"/>
  <c r="F52" i="20" s="1"/>
  <c r="G52" i="20" s="1"/>
  <c r="N51" i="21"/>
  <c r="F51" i="20" s="1"/>
  <c r="G51" i="20" s="1"/>
  <c r="N50" i="21"/>
  <c r="F50" i="20" s="1"/>
  <c r="H50" i="20" s="1"/>
  <c r="N49" i="21"/>
  <c r="F49" i="20" s="1"/>
  <c r="G49" i="20" s="1"/>
  <c r="N48" i="21"/>
  <c r="F48" i="20" s="1"/>
  <c r="G48" i="20" s="1"/>
  <c r="N47" i="21"/>
  <c r="F47" i="20" s="1"/>
  <c r="G47" i="20" s="1"/>
  <c r="N46" i="21"/>
  <c r="F46" i="20" s="1"/>
  <c r="G46" i="20" s="1"/>
  <c r="N45" i="21"/>
  <c r="F45" i="20" s="1"/>
  <c r="G45" i="20" s="1"/>
  <c r="N44" i="21"/>
  <c r="F44" i="20" s="1"/>
  <c r="H44" i="20" s="1"/>
  <c r="N43" i="21"/>
  <c r="F43" i="20" s="1"/>
  <c r="G43" i="20" s="1"/>
  <c r="N42" i="21"/>
  <c r="F42" i="20" s="1"/>
  <c r="G42" i="20" s="1"/>
  <c r="N41" i="21"/>
  <c r="F41" i="20" s="1"/>
  <c r="H41" i="20" s="1"/>
  <c r="N40" i="21"/>
  <c r="F40" i="20" s="1"/>
  <c r="H40" i="20" s="1"/>
  <c r="N39" i="21"/>
  <c r="F39" i="20" s="1"/>
  <c r="H39" i="20" s="1"/>
  <c r="N38" i="21"/>
  <c r="F38" i="20" s="1"/>
  <c r="H38" i="20" s="1"/>
  <c r="N37" i="21"/>
  <c r="F37" i="20" s="1"/>
  <c r="H37" i="20" s="1"/>
  <c r="N36" i="21"/>
  <c r="F36" i="20" s="1"/>
  <c r="H36" i="20" s="1"/>
  <c r="N35" i="21"/>
  <c r="F35" i="20" s="1"/>
  <c r="H35" i="20" s="1"/>
  <c r="N33" i="21"/>
  <c r="F33" i="20" s="1"/>
  <c r="G33" i="20" s="1"/>
  <c r="N32" i="21"/>
  <c r="F32" i="20" s="1"/>
  <c r="H32" i="20" s="1"/>
  <c r="N31" i="21"/>
  <c r="F31" i="20" s="1"/>
  <c r="H31" i="20" s="1"/>
  <c r="N30" i="21"/>
  <c r="F30" i="20" s="1"/>
  <c r="H30" i="20" s="1"/>
  <c r="N29" i="21"/>
  <c r="F29" i="20" s="1"/>
  <c r="H29" i="20" s="1"/>
  <c r="N28" i="21"/>
  <c r="F28" i="20" s="1"/>
  <c r="H28" i="20" s="1"/>
  <c r="N27" i="21"/>
  <c r="F27" i="20" s="1"/>
  <c r="H27" i="20" s="1"/>
  <c r="N26" i="21"/>
  <c r="F26" i="20" s="1"/>
  <c r="H26" i="20" s="1"/>
  <c r="N25" i="21"/>
  <c r="F25" i="20" s="1"/>
  <c r="G25" i="20" s="1"/>
  <c r="N24" i="21"/>
  <c r="F24" i="20" s="1"/>
  <c r="H24" i="20" s="1"/>
  <c r="N23" i="21"/>
  <c r="F23" i="20" s="1"/>
  <c r="H23" i="20" s="1"/>
  <c r="N22" i="21"/>
  <c r="F22" i="20" s="1"/>
  <c r="G22" i="20" s="1"/>
  <c r="N21" i="21"/>
  <c r="F21" i="20" s="1"/>
  <c r="G21" i="20" s="1"/>
  <c r="N20" i="21"/>
  <c r="F20" i="20" s="1"/>
  <c r="H20" i="20" s="1"/>
  <c r="N19" i="21"/>
  <c r="F19" i="20" s="1"/>
  <c r="G19" i="20" s="1"/>
  <c r="N18" i="21"/>
  <c r="F18" i="20" s="1"/>
  <c r="G18" i="20" s="1"/>
  <c r="N17" i="21"/>
  <c r="F17" i="20" s="1"/>
  <c r="G17" i="20" s="1"/>
  <c r="N16" i="21"/>
  <c r="F16" i="20" s="1"/>
  <c r="G16" i="20" s="1"/>
  <c r="N14" i="21"/>
  <c r="F14" i="20" s="1"/>
  <c r="G14" i="20" s="1"/>
  <c r="N12" i="21"/>
  <c r="F12" i="20" s="1"/>
  <c r="H12" i="20" s="1"/>
  <c r="N10" i="21"/>
  <c r="F10" i="20" s="1"/>
  <c r="H10" i="20" s="1"/>
  <c r="D95" i="20"/>
  <c r="D94" i="20"/>
  <c r="D92" i="20"/>
  <c r="D91" i="20"/>
  <c r="D88" i="20"/>
  <c r="D87" i="20"/>
  <c r="D86" i="20"/>
  <c r="H85" i="20"/>
  <c r="D85" i="20"/>
  <c r="D84" i="20"/>
  <c r="D83" i="20"/>
  <c r="D79" i="20"/>
  <c r="D77" i="20"/>
  <c r="D76" i="20"/>
  <c r="D75" i="20"/>
  <c r="D72" i="20"/>
  <c r="D70" i="20"/>
  <c r="H69" i="20"/>
  <c r="D69" i="20"/>
  <c r="D68" i="20"/>
  <c r="D67" i="20"/>
  <c r="D66" i="20"/>
  <c r="D65" i="20"/>
  <c r="D64" i="20"/>
  <c r="D63" i="20"/>
  <c r="D62" i="20"/>
  <c r="D61" i="20"/>
  <c r="D60" i="20"/>
  <c r="D56" i="20"/>
  <c r="D55" i="20"/>
  <c r="D54" i="20"/>
  <c r="D53" i="20"/>
  <c r="D52" i="20"/>
  <c r="D51" i="20"/>
  <c r="D50" i="20"/>
  <c r="H49" i="20"/>
  <c r="D49" i="20"/>
  <c r="H48" i="20"/>
  <c r="D48" i="20"/>
  <c r="H47" i="20"/>
  <c r="D47" i="20"/>
  <c r="D46" i="20"/>
  <c r="H45" i="20"/>
  <c r="D45" i="20"/>
  <c r="D44" i="20"/>
  <c r="D43" i="20"/>
  <c r="D42" i="20"/>
  <c r="D41" i="20"/>
  <c r="D40" i="20"/>
  <c r="D39" i="20"/>
  <c r="D38" i="20"/>
  <c r="D37" i="20"/>
  <c r="D36" i="20"/>
  <c r="D35" i="20"/>
  <c r="D33" i="20"/>
  <c r="D32" i="20"/>
  <c r="D31" i="20"/>
  <c r="D30" i="20"/>
  <c r="D29" i="20"/>
  <c r="D28" i="20"/>
  <c r="D27" i="20"/>
  <c r="D26" i="20"/>
  <c r="H25" i="20"/>
  <c r="D25" i="20"/>
  <c r="D24" i="20"/>
  <c r="D23" i="20"/>
  <c r="D22" i="20"/>
  <c r="H21" i="20"/>
  <c r="D21" i="20"/>
  <c r="D20" i="20"/>
  <c r="D19" i="20"/>
  <c r="H18" i="20"/>
  <c r="D18" i="20"/>
  <c r="D17" i="20"/>
  <c r="D16" i="20"/>
  <c r="D14" i="20"/>
  <c r="D12" i="20"/>
  <c r="D10" i="20"/>
  <c r="G53" i="20" l="1"/>
  <c r="H52" i="20"/>
  <c r="H33" i="20"/>
  <c r="D31" i="23"/>
  <c r="G62" i="20"/>
  <c r="H19" i="20"/>
  <c r="H17" i="20"/>
  <c r="G77" i="20"/>
  <c r="G66" i="20"/>
  <c r="G44" i="20"/>
  <c r="H94" i="20"/>
  <c r="H46" i="20"/>
  <c r="H67" i="20"/>
  <c r="G29" i="20"/>
  <c r="G50" i="20"/>
  <c r="G70" i="20"/>
  <c r="G35" i="20"/>
  <c r="H42" i="20"/>
  <c r="G30" i="20"/>
  <c r="H43" i="20"/>
  <c r="H79" i="20"/>
  <c r="G91" i="20"/>
  <c r="G27" i="20"/>
  <c r="G36" i="20"/>
  <c r="G24" i="20"/>
  <c r="H65" i="20"/>
  <c r="H14" i="20"/>
  <c r="G39" i="20"/>
  <c r="G41" i="20"/>
  <c r="G61" i="20"/>
  <c r="G55" i="20"/>
  <c r="G31" i="20"/>
  <c r="H63" i="20"/>
  <c r="H22" i="20"/>
  <c r="G38" i="20"/>
  <c r="H51" i="20"/>
  <c r="H16" i="20"/>
  <c r="G37" i="20"/>
  <c r="G64" i="20"/>
  <c r="H72" i="20"/>
  <c r="G87" i="20"/>
  <c r="G90" i="20"/>
  <c r="G26" i="20"/>
  <c r="G95" i="20"/>
  <c r="G54" i="20"/>
  <c r="G23" i="20"/>
  <c r="G32" i="20"/>
  <c r="H75" i="20"/>
  <c r="G60" i="20"/>
  <c r="G12" i="20"/>
  <c r="H84" i="20"/>
  <c r="H86" i="20"/>
  <c r="G20" i="20"/>
  <c r="G28" i="20"/>
  <c r="G88" i="20"/>
  <c r="G92" i="20"/>
  <c r="G40" i="20"/>
  <c r="G56" i="20"/>
  <c r="G68" i="20"/>
  <c r="H76" i="20"/>
  <c r="G83" i="20"/>
  <c r="G10" i="20"/>
  <c r="CD206" i="1"/>
  <c r="AB16" i="1" l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15" i="1"/>
  <c r="CU211" i="1" l="1"/>
  <c r="CU212" i="1"/>
  <c r="CU210" i="1"/>
  <c r="CW210" i="1"/>
  <c r="CW211" i="1"/>
  <c r="CW212" i="1"/>
  <c r="CT210" i="1"/>
  <c r="CV210" i="1"/>
  <c r="CT211" i="1"/>
  <c r="CV211" i="1"/>
  <c r="CT212" i="1"/>
  <c r="CV212" i="1"/>
  <c r="CS211" i="1" l="1"/>
  <c r="CS210" i="1"/>
  <c r="CS212" i="1"/>
  <c r="R16" i="1" l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15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14" i="1"/>
  <c r="BB168" i="1" l="1"/>
  <c r="BB160" i="1"/>
  <c r="BB194" i="1"/>
  <c r="BB186" i="1"/>
  <c r="BB178" i="1"/>
  <c r="BB170" i="1"/>
  <c r="BB162" i="1"/>
  <c r="BB154" i="1"/>
  <c r="BB146" i="1"/>
  <c r="BB138" i="1"/>
  <c r="BB130" i="1"/>
  <c r="BB122" i="1"/>
  <c r="BB114" i="1"/>
  <c r="BB106" i="1"/>
  <c r="BB98" i="1"/>
  <c r="BB90" i="1"/>
  <c r="BB82" i="1"/>
  <c r="BB74" i="1"/>
  <c r="BB66" i="1"/>
  <c r="BB58" i="1"/>
  <c r="BB50" i="1"/>
  <c r="BB42" i="1"/>
  <c r="BB34" i="1"/>
  <c r="BB152" i="1"/>
  <c r="BB144" i="1"/>
  <c r="BB136" i="1"/>
  <c r="BB128" i="1"/>
  <c r="BB120" i="1"/>
  <c r="BB112" i="1"/>
  <c r="BB104" i="1"/>
  <c r="BB96" i="1"/>
  <c r="BB88" i="1"/>
  <c r="BB80" i="1"/>
  <c r="BB72" i="1"/>
  <c r="BB64" i="1"/>
  <c r="BB56" i="1"/>
  <c r="BB48" i="1"/>
  <c r="BB192" i="1"/>
  <c r="BB200" i="1"/>
  <c r="BB184" i="1"/>
  <c r="BB40" i="1"/>
  <c r="BB176" i="1"/>
  <c r="BB201" i="1"/>
  <c r="BB193" i="1"/>
  <c r="BB185" i="1"/>
  <c r="BB177" i="1"/>
  <c r="BB169" i="1"/>
  <c r="BB161" i="1"/>
  <c r="BB153" i="1"/>
  <c r="BB145" i="1"/>
  <c r="BB137" i="1"/>
  <c r="BB129" i="1"/>
  <c r="BB121" i="1"/>
  <c r="BB113" i="1"/>
  <c r="BB105" i="1"/>
  <c r="BB97" i="1"/>
  <c r="BB89" i="1"/>
  <c r="BB81" i="1"/>
  <c r="BB73" i="1"/>
  <c r="BB65" i="1"/>
  <c r="BB57" i="1"/>
  <c r="BB199" i="1"/>
  <c r="BB39" i="1"/>
  <c r="BB31" i="1"/>
  <c r="BB32" i="1"/>
  <c r="BB198" i="1"/>
  <c r="BB190" i="1"/>
  <c r="BB182" i="1"/>
  <c r="BB174" i="1"/>
  <c r="BB166" i="1"/>
  <c r="BB158" i="1"/>
  <c r="BB150" i="1"/>
  <c r="BB142" i="1"/>
  <c r="BB134" i="1"/>
  <c r="BB126" i="1"/>
  <c r="BB196" i="1"/>
  <c r="BB188" i="1"/>
  <c r="BB180" i="1"/>
  <c r="BB172" i="1"/>
  <c r="BB164" i="1"/>
  <c r="BB156" i="1"/>
  <c r="BB148" i="1"/>
  <c r="BB140" i="1"/>
  <c r="BB132" i="1"/>
  <c r="BB124" i="1"/>
  <c r="BB116" i="1"/>
  <c r="BB108" i="1"/>
  <c r="BB100" i="1"/>
  <c r="BB195" i="1"/>
  <c r="BB187" i="1"/>
  <c r="BB179" i="1"/>
  <c r="BB171" i="1"/>
  <c r="BB163" i="1"/>
  <c r="BB155" i="1"/>
  <c r="BB147" i="1"/>
  <c r="BB139" i="1"/>
  <c r="BB131" i="1"/>
  <c r="BB123" i="1"/>
  <c r="BB118" i="1"/>
  <c r="BB110" i="1"/>
  <c r="BB102" i="1"/>
  <c r="BB94" i="1"/>
  <c r="BB86" i="1"/>
  <c r="BB78" i="1"/>
  <c r="BB70" i="1"/>
  <c r="BB62" i="1"/>
  <c r="BB54" i="1"/>
  <c r="BB46" i="1"/>
  <c r="BB38" i="1"/>
  <c r="BB30" i="1"/>
  <c r="BB92" i="1"/>
  <c r="BB84" i="1"/>
  <c r="BB76" i="1"/>
  <c r="BB68" i="1"/>
  <c r="BB60" i="1"/>
  <c r="BB52" i="1"/>
  <c r="BB44" i="1"/>
  <c r="BB36" i="1"/>
  <c r="BB28" i="1"/>
  <c r="BB115" i="1"/>
  <c r="BB107" i="1"/>
  <c r="BB99" i="1"/>
  <c r="BB91" i="1"/>
  <c r="BB83" i="1"/>
  <c r="BB75" i="1"/>
  <c r="BB67" i="1"/>
  <c r="BB59" i="1"/>
  <c r="BB51" i="1"/>
  <c r="BB43" i="1"/>
  <c r="BB35" i="1"/>
  <c r="BB27" i="1"/>
  <c r="BB49" i="1"/>
  <c r="BB41" i="1"/>
  <c r="BB33" i="1"/>
  <c r="BB37" i="1"/>
  <c r="BB93" i="1"/>
  <c r="BB191" i="1"/>
  <c r="BB183" i="1"/>
  <c r="BB175" i="1"/>
  <c r="BB167" i="1"/>
  <c r="BB159" i="1"/>
  <c r="BB151" i="1"/>
  <c r="BB143" i="1"/>
  <c r="BB135" i="1"/>
  <c r="BB127" i="1"/>
  <c r="BB119" i="1"/>
  <c r="BB111" i="1"/>
  <c r="BB103" i="1"/>
  <c r="BB95" i="1"/>
  <c r="BB87" i="1"/>
  <c r="BB79" i="1"/>
  <c r="BB71" i="1"/>
  <c r="BB63" i="1"/>
  <c r="BB55" i="1"/>
  <c r="BB47" i="1"/>
  <c r="BB181" i="1"/>
  <c r="BB149" i="1"/>
  <c r="BB85" i="1"/>
  <c r="BB141" i="1"/>
  <c r="BB77" i="1"/>
  <c r="BB133" i="1"/>
  <c r="BB69" i="1"/>
  <c r="BB125" i="1"/>
  <c r="BB61" i="1"/>
  <c r="BB173" i="1"/>
  <c r="BB197" i="1"/>
  <c r="BB165" i="1"/>
  <c r="BB117" i="1"/>
  <c r="BB53" i="1"/>
  <c r="BB29" i="1"/>
  <c r="BB109" i="1"/>
  <c r="BB45" i="1"/>
  <c r="BB189" i="1"/>
  <c r="BB157" i="1"/>
  <c r="BB101" i="1"/>
  <c r="BT212" i="1" l="1"/>
  <c r="BW212" i="1" s="1"/>
  <c r="BL212" i="1"/>
  <c r="BK212" i="1"/>
  <c r="BJ212" i="1"/>
  <c r="BI212" i="1"/>
  <c r="BF212" i="1"/>
  <c r="BE212" i="1"/>
  <c r="AW212" i="1"/>
  <c r="AZ212" i="1" s="1"/>
  <c r="AP212" i="1"/>
  <c r="AT212" i="1" s="1"/>
  <c r="AG212" i="1"/>
  <c r="AE212" i="1"/>
  <c r="AC212" i="1"/>
  <c r="Z212" i="1"/>
  <c r="V212" i="1"/>
  <c r="N212" i="1"/>
  <c r="R212" i="1" s="1"/>
  <c r="G212" i="1"/>
  <c r="L212" i="1" s="1"/>
  <c r="C212" i="1" l="1"/>
  <c r="D212" i="1"/>
  <c r="AO212" i="1"/>
  <c r="BD212" i="1"/>
  <c r="CF212" i="1"/>
  <c r="CH212" i="1"/>
  <c r="F212" i="1" l="1"/>
  <c r="AH212" i="1" s="1"/>
  <c r="E212" i="1"/>
  <c r="BH212" i="1" s="1"/>
  <c r="BK211" i="1"/>
  <c r="BK210" i="1"/>
  <c r="BK209" i="1"/>
  <c r="BK208" i="1"/>
  <c r="CP212" i="1" l="1"/>
  <c r="AF212" i="1"/>
  <c r="CA212" i="1"/>
  <c r="BR212" i="1"/>
  <c r="AD212" i="1"/>
  <c r="AQ212" i="1"/>
  <c r="H212" i="1"/>
  <c r="O212" i="1"/>
  <c r="BT211" i="1"/>
  <c r="BW211" i="1" s="1"/>
  <c r="BL211" i="1"/>
  <c r="BJ211" i="1"/>
  <c r="BI211" i="1"/>
  <c r="BF211" i="1"/>
  <c r="BE211" i="1"/>
  <c r="AW211" i="1"/>
  <c r="AZ211" i="1" s="1"/>
  <c r="AP211" i="1"/>
  <c r="AT211" i="1" s="1"/>
  <c r="AG211" i="1" l="1"/>
  <c r="AO211" i="1" s="1"/>
  <c r="AE211" i="1"/>
  <c r="AC211" i="1"/>
  <c r="Z211" i="1"/>
  <c r="V210" i="1"/>
  <c r="V211" i="1"/>
  <c r="N211" i="1"/>
  <c r="R211" i="1" s="1"/>
  <c r="G211" i="1"/>
  <c r="L211" i="1" s="1"/>
  <c r="C211" i="1"/>
  <c r="D211" i="1"/>
  <c r="E211" i="1" s="1"/>
  <c r="BH211" i="1" s="1"/>
  <c r="BD211" i="1"/>
  <c r="CF211" i="1"/>
  <c r="CH211" i="1"/>
  <c r="H211" i="1" l="1"/>
  <c r="BR211" i="1"/>
  <c r="O211" i="1"/>
  <c r="AD211" i="1"/>
  <c r="AQ211" i="1"/>
  <c r="AF211" i="1"/>
  <c r="CA211" i="1"/>
  <c r="CP211" i="1"/>
  <c r="F211" i="1"/>
  <c r="AH211" i="1" s="1"/>
  <c r="Z209" i="1"/>
  <c r="Z210" i="1"/>
  <c r="BT210" i="1" l="1"/>
  <c r="BW210" i="1" s="1"/>
  <c r="BL210" i="1"/>
  <c r="BJ210" i="1"/>
  <c r="BI210" i="1"/>
  <c r="BF210" i="1"/>
  <c r="BE210" i="1"/>
  <c r="AW210" i="1"/>
  <c r="AZ210" i="1" s="1"/>
  <c r="AP210" i="1"/>
  <c r="AT210" i="1" s="1"/>
  <c r="AG210" i="1"/>
  <c r="AE210" i="1"/>
  <c r="AC210" i="1"/>
  <c r="CH210" i="1" l="1"/>
  <c r="N210" i="1"/>
  <c r="R210" i="1" s="1"/>
  <c r="G210" i="1"/>
  <c r="L210" i="1" s="1"/>
  <c r="C210" i="1" l="1"/>
  <c r="D210" i="1"/>
  <c r="F210" i="1" s="1"/>
  <c r="AH210" i="1" s="1"/>
  <c r="AO210" i="1"/>
  <c r="BD210" i="1"/>
  <c r="CF210" i="1"/>
  <c r="E210" i="1" l="1"/>
  <c r="BH210" i="1" s="1"/>
  <c r="AQ210" i="1" l="1"/>
  <c r="AF210" i="1"/>
  <c r="O210" i="1"/>
  <c r="CA210" i="1"/>
  <c r="AD210" i="1"/>
  <c r="H210" i="1"/>
  <c r="BR210" i="1"/>
  <c r="CP210" i="1"/>
  <c r="Z208" i="1"/>
  <c r="V208" i="1"/>
  <c r="V209" i="1"/>
  <c r="BT209" i="1" l="1"/>
  <c r="BW209" i="1" s="1"/>
  <c r="BL209" i="1"/>
  <c r="BJ209" i="1"/>
  <c r="BI209" i="1"/>
  <c r="BF209" i="1"/>
  <c r="BE209" i="1"/>
  <c r="AW209" i="1"/>
  <c r="AZ209" i="1" s="1"/>
  <c r="AP209" i="1"/>
  <c r="AT209" i="1" s="1"/>
  <c r="AG209" i="1"/>
  <c r="AE209" i="1"/>
  <c r="AC209" i="1"/>
  <c r="N209" i="1"/>
  <c r="R209" i="1" s="1"/>
  <c r="G209" i="1"/>
  <c r="L209" i="1" s="1"/>
  <c r="C209" i="1" l="1"/>
  <c r="D209" i="1"/>
  <c r="E209" i="1" s="1"/>
  <c r="BH209" i="1" s="1"/>
  <c r="AO209" i="1"/>
  <c r="BD209" i="1"/>
  <c r="CF209" i="1"/>
  <c r="CH209" i="1"/>
  <c r="F209" i="1" l="1"/>
  <c r="AH209" i="1" s="1"/>
  <c r="AF209" i="1"/>
  <c r="CA209" i="1"/>
  <c r="AD209" i="1"/>
  <c r="O209" i="1"/>
  <c r="AQ209" i="1"/>
  <c r="H209" i="1"/>
  <c r="CP209" i="1"/>
  <c r="BR209" i="1"/>
  <c r="BT206" i="1"/>
  <c r="BT208" i="1"/>
  <c r="BW208" i="1" s="1"/>
  <c r="BL208" i="1"/>
  <c r="BL206" i="1"/>
  <c r="BK206" i="1"/>
  <c r="BJ206" i="1"/>
  <c r="BJ208" i="1"/>
  <c r="BI206" i="1"/>
  <c r="BI208" i="1"/>
  <c r="BF206" i="1"/>
  <c r="BF208" i="1"/>
  <c r="BE206" i="1"/>
  <c r="BE208" i="1"/>
  <c r="AW206" i="1" l="1"/>
  <c r="AZ206" i="1" s="1"/>
  <c r="AW208" i="1"/>
  <c r="AP206" i="1"/>
  <c r="AP208" i="1"/>
  <c r="AT208" i="1" s="1"/>
  <c r="AG206" i="1"/>
  <c r="AG208" i="1"/>
  <c r="AO208" i="1" s="1"/>
  <c r="AE206" i="1"/>
  <c r="AE208" i="1"/>
  <c r="AC208" i="1"/>
  <c r="AC206" i="1"/>
  <c r="N206" i="1"/>
  <c r="R206" i="1" s="1"/>
  <c r="N208" i="1"/>
  <c r="R208" i="1" s="1"/>
  <c r="G206" i="1"/>
  <c r="G208" i="1"/>
  <c r="L208" i="1" s="1"/>
  <c r="C208" i="1"/>
  <c r="D208" i="1"/>
  <c r="CF208" i="1"/>
  <c r="CH208" i="1"/>
  <c r="BD208" i="1" l="1"/>
  <c r="AZ208" i="1"/>
  <c r="F208" i="1"/>
  <c r="AH208" i="1" s="1"/>
  <c r="E208" i="1"/>
  <c r="CA208" i="1" l="1"/>
  <c r="BH208" i="1"/>
  <c r="H208" i="1"/>
  <c r="BR208" i="1"/>
  <c r="O208" i="1"/>
  <c r="AF208" i="1"/>
  <c r="AD208" i="1"/>
  <c r="AQ208" i="1"/>
  <c r="CP208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15" i="1"/>
  <c r="BV15" i="1" l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Y42" i="1" s="1"/>
  <c r="BV43" i="1"/>
  <c r="BV44" i="1"/>
  <c r="BV45" i="1"/>
  <c r="BV46" i="1"/>
  <c r="BV47" i="1"/>
  <c r="BV48" i="1"/>
  <c r="BV49" i="1"/>
  <c r="BV50" i="1"/>
  <c r="BY50" i="1" s="1"/>
  <c r="BV51" i="1"/>
  <c r="BV52" i="1"/>
  <c r="BV53" i="1"/>
  <c r="BV54" i="1"/>
  <c r="BV55" i="1"/>
  <c r="BV56" i="1"/>
  <c r="BV57" i="1"/>
  <c r="BV58" i="1"/>
  <c r="BY58" i="1" s="1"/>
  <c r="BV59" i="1"/>
  <c r="BV60" i="1"/>
  <c r="BV61" i="1"/>
  <c r="BV62" i="1"/>
  <c r="BV63" i="1"/>
  <c r="BV64" i="1"/>
  <c r="BV65" i="1"/>
  <c r="BV66" i="1"/>
  <c r="BY66" i="1" s="1"/>
  <c r="BV67" i="1"/>
  <c r="BV68" i="1"/>
  <c r="BV69" i="1"/>
  <c r="BV70" i="1"/>
  <c r="BV71" i="1"/>
  <c r="BV72" i="1"/>
  <c r="BV73" i="1"/>
  <c r="BV74" i="1"/>
  <c r="BY74" i="1" s="1"/>
  <c r="BV75" i="1"/>
  <c r="BV76" i="1"/>
  <c r="BV77" i="1"/>
  <c r="BV78" i="1"/>
  <c r="BV79" i="1"/>
  <c r="BV80" i="1"/>
  <c r="BV81" i="1"/>
  <c r="BV82" i="1"/>
  <c r="BY82" i="1" s="1"/>
  <c r="BV83" i="1"/>
  <c r="BV84" i="1"/>
  <c r="BV85" i="1"/>
  <c r="BV86" i="1"/>
  <c r="BV87" i="1"/>
  <c r="BV88" i="1"/>
  <c r="BV89" i="1"/>
  <c r="BV90" i="1"/>
  <c r="BY90" i="1" s="1"/>
  <c r="BV91" i="1"/>
  <c r="BV92" i="1"/>
  <c r="BV93" i="1"/>
  <c r="BV94" i="1"/>
  <c r="BV95" i="1"/>
  <c r="BV96" i="1"/>
  <c r="BV97" i="1"/>
  <c r="BV98" i="1"/>
  <c r="BY98" i="1" s="1"/>
  <c r="BV99" i="1"/>
  <c r="BV100" i="1"/>
  <c r="BV101" i="1"/>
  <c r="BV102" i="1"/>
  <c r="BV103" i="1"/>
  <c r="BV104" i="1"/>
  <c r="BV105" i="1"/>
  <c r="BV106" i="1"/>
  <c r="BY106" i="1" s="1"/>
  <c r="BV107" i="1"/>
  <c r="BV108" i="1"/>
  <c r="BV109" i="1"/>
  <c r="BV110" i="1"/>
  <c r="BV111" i="1"/>
  <c r="BV112" i="1"/>
  <c r="BV113" i="1"/>
  <c r="BV114" i="1"/>
  <c r="BY114" i="1" s="1"/>
  <c r="BV115" i="1"/>
  <c r="BV116" i="1"/>
  <c r="BV117" i="1"/>
  <c r="BV118" i="1"/>
  <c r="BV119" i="1"/>
  <c r="BV120" i="1"/>
  <c r="BV121" i="1"/>
  <c r="BV122" i="1"/>
  <c r="BY122" i="1" s="1"/>
  <c r="BV123" i="1"/>
  <c r="BV124" i="1"/>
  <c r="BV125" i="1"/>
  <c r="BV126" i="1"/>
  <c r="BV127" i="1"/>
  <c r="BV128" i="1"/>
  <c r="BV129" i="1"/>
  <c r="BV130" i="1"/>
  <c r="BY130" i="1" s="1"/>
  <c r="BV131" i="1"/>
  <c r="BV132" i="1"/>
  <c r="BV133" i="1"/>
  <c r="BV134" i="1"/>
  <c r="BV135" i="1"/>
  <c r="BV136" i="1"/>
  <c r="BV137" i="1"/>
  <c r="BV138" i="1"/>
  <c r="BY138" i="1" s="1"/>
  <c r="BV139" i="1"/>
  <c r="BV140" i="1"/>
  <c r="BV141" i="1"/>
  <c r="BV142" i="1"/>
  <c r="BV143" i="1"/>
  <c r="BV144" i="1"/>
  <c r="BV145" i="1"/>
  <c r="BV146" i="1"/>
  <c r="BY146" i="1" s="1"/>
  <c r="BV147" i="1"/>
  <c r="BV148" i="1"/>
  <c r="BV149" i="1"/>
  <c r="BV150" i="1"/>
  <c r="BV151" i="1"/>
  <c r="BV152" i="1"/>
  <c r="BV153" i="1"/>
  <c r="BV154" i="1"/>
  <c r="BY154" i="1" s="1"/>
  <c r="BV155" i="1"/>
  <c r="BV156" i="1"/>
  <c r="BV157" i="1"/>
  <c r="BV158" i="1"/>
  <c r="BV159" i="1"/>
  <c r="BV160" i="1"/>
  <c r="BV161" i="1"/>
  <c r="BV162" i="1"/>
  <c r="BY162" i="1" s="1"/>
  <c r="BV163" i="1"/>
  <c r="BV164" i="1"/>
  <c r="BV165" i="1"/>
  <c r="BV166" i="1"/>
  <c r="BV167" i="1"/>
  <c r="BV168" i="1"/>
  <c r="BV169" i="1"/>
  <c r="BV170" i="1"/>
  <c r="BY170" i="1" s="1"/>
  <c r="BV171" i="1"/>
  <c r="BV172" i="1"/>
  <c r="BV173" i="1"/>
  <c r="BV174" i="1"/>
  <c r="BV175" i="1"/>
  <c r="BV176" i="1"/>
  <c r="BV177" i="1"/>
  <c r="BV178" i="1"/>
  <c r="BY178" i="1" s="1"/>
  <c r="BV179" i="1"/>
  <c r="BV180" i="1"/>
  <c r="BV181" i="1"/>
  <c r="BV182" i="1"/>
  <c r="BV183" i="1"/>
  <c r="BV184" i="1"/>
  <c r="BV185" i="1"/>
  <c r="BV186" i="1"/>
  <c r="BY186" i="1" s="1"/>
  <c r="BV187" i="1"/>
  <c r="BV188" i="1"/>
  <c r="BV189" i="1"/>
  <c r="BV190" i="1"/>
  <c r="BV191" i="1"/>
  <c r="BV192" i="1"/>
  <c r="BV193" i="1"/>
  <c r="BV194" i="1"/>
  <c r="BY194" i="1" s="1"/>
  <c r="BV195" i="1"/>
  <c r="BV196" i="1"/>
  <c r="BV197" i="1"/>
  <c r="BV198" i="1"/>
  <c r="BV199" i="1"/>
  <c r="BV200" i="1"/>
  <c r="BV201" i="1"/>
  <c r="BV14" i="1"/>
  <c r="BY34" i="1" l="1"/>
  <c r="BY189" i="1"/>
  <c r="BY197" i="1"/>
  <c r="BY181" i="1"/>
  <c r="BY196" i="1"/>
  <c r="BY188" i="1"/>
  <c r="BY180" i="1"/>
  <c r="BY172" i="1"/>
  <c r="BY164" i="1"/>
  <c r="BY156" i="1"/>
  <c r="BY148" i="1"/>
  <c r="BY140" i="1"/>
  <c r="BY132" i="1"/>
  <c r="BY124" i="1"/>
  <c r="BY116" i="1"/>
  <c r="BY108" i="1"/>
  <c r="BY100" i="1"/>
  <c r="BY195" i="1"/>
  <c r="BY187" i="1"/>
  <c r="BY179" i="1"/>
  <c r="BY171" i="1"/>
  <c r="BY163" i="1"/>
  <c r="BY155" i="1"/>
  <c r="BY147" i="1"/>
  <c r="BY139" i="1"/>
  <c r="BY131" i="1"/>
  <c r="BY123" i="1"/>
  <c r="BY115" i="1"/>
  <c r="BY107" i="1"/>
  <c r="BY99" i="1"/>
  <c r="BY91" i="1"/>
  <c r="BY83" i="1"/>
  <c r="BY75" i="1"/>
  <c r="BY67" i="1"/>
  <c r="BY59" i="1"/>
  <c r="BY51" i="1"/>
  <c r="BY43" i="1"/>
  <c r="BY35" i="1"/>
  <c r="BY27" i="1"/>
  <c r="BY173" i="1"/>
  <c r="BY165" i="1"/>
  <c r="BY157" i="1"/>
  <c r="BY149" i="1"/>
  <c r="BY141" i="1"/>
  <c r="BY133" i="1"/>
  <c r="BY125" i="1"/>
  <c r="BY117" i="1"/>
  <c r="BY109" i="1"/>
  <c r="BY92" i="1"/>
  <c r="BY84" i="1"/>
  <c r="BY76" i="1"/>
  <c r="BY68" i="1"/>
  <c r="BY60" i="1"/>
  <c r="BY52" i="1"/>
  <c r="BY44" i="1"/>
  <c r="BY36" i="1"/>
  <c r="BY28" i="1"/>
  <c r="BY101" i="1"/>
  <c r="BY93" i="1"/>
  <c r="BY85" i="1"/>
  <c r="BY77" i="1"/>
  <c r="BY69" i="1"/>
  <c r="BY61" i="1"/>
  <c r="BY53" i="1"/>
  <c r="BY45" i="1"/>
  <c r="BY199" i="1"/>
  <c r="BY183" i="1"/>
  <c r="BY167" i="1"/>
  <c r="BY151" i="1"/>
  <c r="BY135" i="1"/>
  <c r="BY119" i="1"/>
  <c r="BY111" i="1"/>
  <c r="BY95" i="1"/>
  <c r="BY87" i="1"/>
  <c r="BY79" i="1"/>
  <c r="BY71" i="1"/>
  <c r="BY191" i="1"/>
  <c r="BY175" i="1"/>
  <c r="BY159" i="1"/>
  <c r="BY143" i="1"/>
  <c r="BY127" i="1"/>
  <c r="BY103" i="1"/>
  <c r="BY37" i="1"/>
  <c r="BY29" i="1"/>
  <c r="BY26" i="1"/>
  <c r="BY185" i="1"/>
  <c r="BY161" i="1"/>
  <c r="BY137" i="1"/>
  <c r="BY113" i="1"/>
  <c r="BY81" i="1"/>
  <c r="BY200" i="1"/>
  <c r="BY192" i="1"/>
  <c r="BY184" i="1"/>
  <c r="BY176" i="1"/>
  <c r="BY168" i="1"/>
  <c r="BY160" i="1"/>
  <c r="BY152" i="1"/>
  <c r="BY144" i="1"/>
  <c r="BY136" i="1"/>
  <c r="BY128" i="1"/>
  <c r="BY120" i="1"/>
  <c r="BY112" i="1"/>
  <c r="BY104" i="1"/>
  <c r="BY96" i="1"/>
  <c r="BY88" i="1"/>
  <c r="BY80" i="1"/>
  <c r="BY72" i="1"/>
  <c r="BY64" i="1"/>
  <c r="BY56" i="1"/>
  <c r="BY48" i="1"/>
  <c r="BY40" i="1"/>
  <c r="BY32" i="1"/>
  <c r="BY193" i="1"/>
  <c r="BY169" i="1"/>
  <c r="BY145" i="1"/>
  <c r="BY121" i="1"/>
  <c r="BY97" i="1"/>
  <c r="BY89" i="1"/>
  <c r="BY65" i="1"/>
  <c r="BY57" i="1"/>
  <c r="BY49" i="1"/>
  <c r="BY41" i="1"/>
  <c r="BY63" i="1"/>
  <c r="BY55" i="1"/>
  <c r="BY47" i="1"/>
  <c r="BY39" i="1"/>
  <c r="BY31" i="1"/>
  <c r="BY201" i="1"/>
  <c r="BY177" i="1"/>
  <c r="BY153" i="1"/>
  <c r="BY129" i="1"/>
  <c r="BY105" i="1"/>
  <c r="BY73" i="1"/>
  <c r="BY33" i="1"/>
  <c r="BY198" i="1"/>
  <c r="BY190" i="1"/>
  <c r="BY182" i="1"/>
  <c r="BY174" i="1"/>
  <c r="BY166" i="1"/>
  <c r="BY158" i="1"/>
  <c r="BY150" i="1"/>
  <c r="BY142" i="1"/>
  <c r="BY134" i="1"/>
  <c r="BY126" i="1"/>
  <c r="BY118" i="1"/>
  <c r="BY110" i="1"/>
  <c r="BY102" i="1"/>
  <c r="BY94" i="1"/>
  <c r="BY86" i="1"/>
  <c r="BY78" i="1"/>
  <c r="BY70" i="1"/>
  <c r="BY62" i="1"/>
  <c r="BY54" i="1"/>
  <c r="BY46" i="1"/>
  <c r="BY38" i="1"/>
  <c r="BY30" i="1"/>
  <c r="AW207" i="1"/>
  <c r="AZ207" i="1" l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AA208" i="1" s="1"/>
  <c r="Z197" i="1"/>
  <c r="AA209" i="1" s="1"/>
  <c r="Z198" i="1"/>
  <c r="AA210" i="1" s="1"/>
  <c r="Z199" i="1"/>
  <c r="AA211" i="1" s="1"/>
  <c r="Z200" i="1"/>
  <c r="AA212" i="1" s="1"/>
  <c r="Z201" i="1"/>
  <c r="AA213" i="1" s="1"/>
  <c r="Z202" i="1"/>
  <c r="AA214" i="1" s="1"/>
  <c r="Z203" i="1"/>
  <c r="Z204" i="1"/>
  <c r="Z205" i="1"/>
  <c r="Z206" i="1"/>
  <c r="Z207" i="1"/>
  <c r="Z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W208" i="1" s="1"/>
  <c r="V197" i="1"/>
  <c r="W209" i="1" s="1"/>
  <c r="V198" i="1"/>
  <c r="W210" i="1" s="1"/>
  <c r="V199" i="1"/>
  <c r="W211" i="1" s="1"/>
  <c r="V200" i="1"/>
  <c r="W212" i="1" s="1"/>
  <c r="V201" i="1"/>
  <c r="W213" i="1" s="1"/>
  <c r="V202" i="1"/>
  <c r="W214" i="1" s="1"/>
  <c r="V203" i="1"/>
  <c r="V204" i="1"/>
  <c r="V205" i="1"/>
  <c r="V206" i="1"/>
  <c r="V207" i="1"/>
  <c r="V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14" i="1"/>
  <c r="T195" i="1" l="1"/>
  <c r="T187" i="1"/>
  <c r="T179" i="1"/>
  <c r="T171" i="1"/>
  <c r="T163" i="1"/>
  <c r="T155" i="1"/>
  <c r="T147" i="1"/>
  <c r="T139" i="1"/>
  <c r="T131" i="1"/>
  <c r="T123" i="1"/>
  <c r="T115" i="1"/>
  <c r="T107" i="1"/>
  <c r="T99" i="1"/>
  <c r="T91" i="1"/>
  <c r="T83" i="1"/>
  <c r="T75" i="1"/>
  <c r="T67" i="1"/>
  <c r="T59" i="1"/>
  <c r="T51" i="1"/>
  <c r="T43" i="1"/>
  <c r="T35" i="1"/>
  <c r="T27" i="1"/>
  <c r="AV197" i="1"/>
  <c r="AV189" i="1"/>
  <c r="AV181" i="1"/>
  <c r="AV173" i="1"/>
  <c r="AV165" i="1"/>
  <c r="AV157" i="1"/>
  <c r="AV149" i="1"/>
  <c r="AV141" i="1"/>
  <c r="AV133" i="1"/>
  <c r="AV125" i="1"/>
  <c r="AV117" i="1"/>
  <c r="AV109" i="1"/>
  <c r="AV101" i="1"/>
  <c r="AV93" i="1"/>
  <c r="AV85" i="1"/>
  <c r="AV77" i="1"/>
  <c r="AV69" i="1"/>
  <c r="AV61" i="1"/>
  <c r="AV53" i="1"/>
  <c r="AV45" i="1"/>
  <c r="AV37" i="1"/>
  <c r="AV29" i="1"/>
  <c r="T196" i="1"/>
  <c r="T188" i="1"/>
  <c r="T180" i="1"/>
  <c r="T172" i="1"/>
  <c r="T164" i="1"/>
  <c r="T156" i="1"/>
  <c r="T148" i="1"/>
  <c r="T140" i="1"/>
  <c r="T132" i="1"/>
  <c r="T124" i="1"/>
  <c r="T116" i="1"/>
  <c r="T108" i="1"/>
  <c r="T100" i="1"/>
  <c r="T92" i="1"/>
  <c r="T84" i="1"/>
  <c r="T76" i="1"/>
  <c r="T68" i="1"/>
  <c r="T60" i="1"/>
  <c r="T52" i="1"/>
  <c r="T44" i="1"/>
  <c r="T36" i="1"/>
  <c r="T28" i="1"/>
  <c r="M194" i="1"/>
  <c r="M186" i="1"/>
  <c r="M178" i="1"/>
  <c r="M170" i="1"/>
  <c r="M162" i="1"/>
  <c r="M154" i="1"/>
  <c r="M146" i="1"/>
  <c r="M138" i="1"/>
  <c r="M130" i="1"/>
  <c r="M122" i="1"/>
  <c r="M114" i="1"/>
  <c r="M106" i="1"/>
  <c r="M98" i="1"/>
  <c r="M90" i="1"/>
  <c r="M82" i="1"/>
  <c r="M74" i="1"/>
  <c r="M66" i="1"/>
  <c r="M58" i="1"/>
  <c r="T166" i="1"/>
  <c r="T158" i="1"/>
  <c r="T150" i="1"/>
  <c r="T142" i="1"/>
  <c r="T134" i="1"/>
  <c r="T126" i="1"/>
  <c r="T118" i="1"/>
  <c r="T110" i="1"/>
  <c r="T102" i="1"/>
  <c r="T94" i="1"/>
  <c r="T86" i="1"/>
  <c r="T78" i="1"/>
  <c r="T70" i="1"/>
  <c r="T62" i="1"/>
  <c r="T54" i="1"/>
  <c r="T46" i="1"/>
  <c r="T38" i="1"/>
  <c r="T30" i="1"/>
  <c r="AV158" i="1"/>
  <c r="T201" i="1"/>
  <c r="T193" i="1"/>
  <c r="T185" i="1"/>
  <c r="T177" i="1"/>
  <c r="T169" i="1"/>
  <c r="T161" i="1"/>
  <c r="T153" i="1"/>
  <c r="T145" i="1"/>
  <c r="T137" i="1"/>
  <c r="T129" i="1"/>
  <c r="T121" i="1"/>
  <c r="T113" i="1"/>
  <c r="T105" i="1"/>
  <c r="T97" i="1"/>
  <c r="T89" i="1"/>
  <c r="T81" i="1"/>
  <c r="T73" i="1"/>
  <c r="T65" i="1"/>
  <c r="T57" i="1"/>
  <c r="T49" i="1"/>
  <c r="T41" i="1"/>
  <c r="T33" i="1"/>
  <c r="M50" i="1"/>
  <c r="M42" i="1"/>
  <c r="M34" i="1"/>
  <c r="T198" i="1"/>
  <c r="T190" i="1"/>
  <c r="T182" i="1"/>
  <c r="T174" i="1"/>
  <c r="AV94" i="1"/>
  <c r="AV30" i="1"/>
  <c r="M75" i="1"/>
  <c r="M59" i="1"/>
  <c r="M35" i="1"/>
  <c r="T191" i="1"/>
  <c r="T167" i="1"/>
  <c r="T151" i="1"/>
  <c r="T127" i="1"/>
  <c r="T111" i="1"/>
  <c r="T87" i="1"/>
  <c r="T63" i="1"/>
  <c r="T47" i="1"/>
  <c r="W201" i="1"/>
  <c r="W177" i="1"/>
  <c r="W145" i="1"/>
  <c r="W137" i="1"/>
  <c r="W113" i="1"/>
  <c r="W97" i="1"/>
  <c r="W73" i="1"/>
  <c r="W57" i="1"/>
  <c r="W33" i="1"/>
  <c r="M201" i="1"/>
  <c r="M193" i="1"/>
  <c r="M185" i="1"/>
  <c r="M177" i="1"/>
  <c r="M169" i="1"/>
  <c r="M161" i="1"/>
  <c r="M153" i="1"/>
  <c r="M145" i="1"/>
  <c r="M137" i="1"/>
  <c r="M129" i="1"/>
  <c r="M121" i="1"/>
  <c r="M113" i="1"/>
  <c r="M105" i="1"/>
  <c r="M97" i="1"/>
  <c r="M89" i="1"/>
  <c r="M81" i="1"/>
  <c r="M73" i="1"/>
  <c r="M65" i="1"/>
  <c r="M57" i="1"/>
  <c r="M49" i="1"/>
  <c r="M41" i="1"/>
  <c r="M33" i="1"/>
  <c r="T197" i="1"/>
  <c r="T189" i="1"/>
  <c r="T181" i="1"/>
  <c r="T173" i="1"/>
  <c r="T165" i="1"/>
  <c r="T157" i="1"/>
  <c r="T149" i="1"/>
  <c r="T141" i="1"/>
  <c r="T133" i="1"/>
  <c r="T125" i="1"/>
  <c r="T117" i="1"/>
  <c r="T109" i="1"/>
  <c r="T101" i="1"/>
  <c r="T93" i="1"/>
  <c r="T85" i="1"/>
  <c r="T77" i="1"/>
  <c r="T69" i="1"/>
  <c r="T61" i="1"/>
  <c r="T53" i="1"/>
  <c r="T45" i="1"/>
  <c r="T37" i="1"/>
  <c r="T29" i="1"/>
  <c r="T194" i="1"/>
  <c r="T186" i="1"/>
  <c r="T178" i="1"/>
  <c r="T170" i="1"/>
  <c r="T162" i="1"/>
  <c r="T154" i="1"/>
  <c r="T146" i="1"/>
  <c r="T138" i="1"/>
  <c r="T130" i="1"/>
  <c r="T122" i="1"/>
  <c r="T114" i="1"/>
  <c r="T106" i="1"/>
  <c r="T98" i="1"/>
  <c r="T90" i="1"/>
  <c r="T82" i="1"/>
  <c r="T74" i="1"/>
  <c r="T66" i="1"/>
  <c r="T58" i="1"/>
  <c r="T50" i="1"/>
  <c r="T42" i="1"/>
  <c r="T34" i="1"/>
  <c r="T26" i="1"/>
  <c r="M196" i="1"/>
  <c r="M188" i="1"/>
  <c r="M180" i="1"/>
  <c r="M172" i="1"/>
  <c r="M164" i="1"/>
  <c r="M156" i="1"/>
  <c r="M148" i="1"/>
  <c r="M140" i="1"/>
  <c r="M132" i="1"/>
  <c r="M124" i="1"/>
  <c r="M116" i="1"/>
  <c r="M108" i="1"/>
  <c r="M100" i="1"/>
  <c r="M92" i="1"/>
  <c r="M84" i="1"/>
  <c r="M76" i="1"/>
  <c r="M68" i="1"/>
  <c r="M60" i="1"/>
  <c r="M52" i="1"/>
  <c r="M44" i="1"/>
  <c r="M36" i="1"/>
  <c r="M28" i="1"/>
  <c r="T200" i="1"/>
  <c r="T192" i="1"/>
  <c r="T184" i="1"/>
  <c r="T176" i="1"/>
  <c r="T168" i="1"/>
  <c r="T160" i="1"/>
  <c r="T152" i="1"/>
  <c r="T144" i="1"/>
  <c r="T136" i="1"/>
  <c r="T128" i="1"/>
  <c r="T120" i="1"/>
  <c r="T112" i="1"/>
  <c r="T104" i="1"/>
  <c r="T96" i="1"/>
  <c r="T88" i="1"/>
  <c r="T80" i="1"/>
  <c r="T72" i="1"/>
  <c r="T64" i="1"/>
  <c r="T56" i="1"/>
  <c r="T48" i="1"/>
  <c r="T40" i="1"/>
  <c r="T32" i="1"/>
  <c r="M83" i="1"/>
  <c r="M51" i="1"/>
  <c r="T175" i="1"/>
  <c r="T135" i="1"/>
  <c r="T103" i="1"/>
  <c r="T71" i="1"/>
  <c r="T39" i="1"/>
  <c r="W193" i="1"/>
  <c r="W161" i="1"/>
  <c r="W121" i="1"/>
  <c r="W89" i="1"/>
  <c r="W49" i="1"/>
  <c r="M91" i="1"/>
  <c r="M67" i="1"/>
  <c r="M43" i="1"/>
  <c r="M27" i="1"/>
  <c r="T199" i="1"/>
  <c r="T183" i="1"/>
  <c r="T159" i="1"/>
  <c r="T143" i="1"/>
  <c r="T119" i="1"/>
  <c r="T95" i="1"/>
  <c r="T79" i="1"/>
  <c r="T55" i="1"/>
  <c r="T31" i="1"/>
  <c r="W169" i="1"/>
  <c r="W153" i="1"/>
  <c r="W129" i="1"/>
  <c r="W105" i="1"/>
  <c r="W81" i="1"/>
  <c r="W65" i="1"/>
  <c r="W41" i="1"/>
  <c r="M40" i="1"/>
  <c r="M159" i="1"/>
  <c r="M151" i="1"/>
  <c r="M143" i="1"/>
  <c r="M135" i="1"/>
  <c r="M127" i="1"/>
  <c r="M119" i="1"/>
  <c r="M111" i="1"/>
  <c r="M103" i="1"/>
  <c r="M95" i="1"/>
  <c r="M87" i="1"/>
  <c r="M79" i="1"/>
  <c r="M71" i="1"/>
  <c r="M63" i="1"/>
  <c r="M55" i="1"/>
  <c r="M47" i="1"/>
  <c r="M39" i="1"/>
  <c r="M31" i="1"/>
  <c r="M200" i="1"/>
  <c r="M192" i="1"/>
  <c r="M184" i="1"/>
  <c r="M176" i="1"/>
  <c r="M168" i="1"/>
  <c r="M160" i="1"/>
  <c r="M152" i="1"/>
  <c r="M144" i="1"/>
  <c r="M136" i="1"/>
  <c r="M128" i="1"/>
  <c r="M120" i="1"/>
  <c r="M112" i="1"/>
  <c r="M104" i="1"/>
  <c r="M96" i="1"/>
  <c r="M88" i="1"/>
  <c r="M80" i="1"/>
  <c r="M72" i="1"/>
  <c r="M64" i="1"/>
  <c r="M56" i="1"/>
  <c r="M48" i="1"/>
  <c r="M32" i="1"/>
  <c r="M195" i="1"/>
  <c r="M187" i="1"/>
  <c r="M179" i="1"/>
  <c r="M171" i="1"/>
  <c r="M163" i="1"/>
  <c r="M155" i="1"/>
  <c r="M147" i="1"/>
  <c r="M139" i="1"/>
  <c r="M131" i="1"/>
  <c r="M123" i="1"/>
  <c r="M115" i="1"/>
  <c r="M107" i="1"/>
  <c r="M99" i="1"/>
  <c r="M197" i="1"/>
  <c r="M189" i="1"/>
  <c r="M181" i="1"/>
  <c r="M173" i="1"/>
  <c r="M165" i="1"/>
  <c r="M157" i="1"/>
  <c r="M149" i="1"/>
  <c r="M141" i="1"/>
  <c r="M133" i="1"/>
  <c r="M125" i="1"/>
  <c r="M117" i="1"/>
  <c r="M109" i="1"/>
  <c r="M101" i="1"/>
  <c r="M93" i="1"/>
  <c r="M85" i="1"/>
  <c r="M77" i="1"/>
  <c r="M69" i="1"/>
  <c r="M61" i="1"/>
  <c r="M53" i="1"/>
  <c r="M45" i="1"/>
  <c r="M37" i="1"/>
  <c r="M29" i="1"/>
  <c r="M26" i="1"/>
  <c r="M191" i="1"/>
  <c r="M167" i="1"/>
  <c r="M198" i="1"/>
  <c r="M174" i="1"/>
  <c r="M158" i="1"/>
  <c r="M142" i="1"/>
  <c r="M134" i="1"/>
  <c r="M126" i="1"/>
  <c r="M118" i="1"/>
  <c r="M110" i="1"/>
  <c r="M102" i="1"/>
  <c r="M94" i="1"/>
  <c r="M86" i="1"/>
  <c r="M78" i="1"/>
  <c r="M70" i="1"/>
  <c r="M62" i="1"/>
  <c r="M54" i="1"/>
  <c r="M46" i="1"/>
  <c r="M38" i="1"/>
  <c r="M30" i="1"/>
  <c r="M183" i="1"/>
  <c r="M190" i="1"/>
  <c r="M166" i="1"/>
  <c r="M199" i="1"/>
  <c r="M175" i="1"/>
  <c r="M182" i="1"/>
  <c r="M150" i="1"/>
  <c r="AV200" i="1"/>
  <c r="AV192" i="1"/>
  <c r="AV184" i="1"/>
  <c r="AV176" i="1"/>
  <c r="AV168" i="1"/>
  <c r="AV160" i="1"/>
  <c r="AV152" i="1"/>
  <c r="AV144" i="1"/>
  <c r="AV136" i="1"/>
  <c r="AV194" i="1"/>
  <c r="AV186" i="1"/>
  <c r="AV178" i="1"/>
  <c r="AV162" i="1"/>
  <c r="AV154" i="1"/>
  <c r="AV146" i="1"/>
  <c r="AV138" i="1"/>
  <c r="AV130" i="1"/>
  <c r="AV122" i="1"/>
  <c r="AV114" i="1"/>
  <c r="AV106" i="1"/>
  <c r="AV98" i="1"/>
  <c r="AV90" i="1"/>
  <c r="AV82" i="1"/>
  <c r="AV74" i="1"/>
  <c r="AV66" i="1"/>
  <c r="AV58" i="1"/>
  <c r="AV50" i="1"/>
  <c r="AV42" i="1"/>
  <c r="AV34" i="1"/>
  <c r="AV128" i="1"/>
  <c r="W185" i="1"/>
  <c r="W203" i="1"/>
  <c r="W195" i="1"/>
  <c r="W179" i="1"/>
  <c r="W171" i="1"/>
  <c r="W163" i="1"/>
  <c r="W147" i="1"/>
  <c r="W139" i="1"/>
  <c r="AV120" i="1"/>
  <c r="AV112" i="1"/>
  <c r="AV104" i="1"/>
  <c r="AV96" i="1"/>
  <c r="AV88" i="1"/>
  <c r="AV80" i="1"/>
  <c r="AV72" i="1"/>
  <c r="AV64" i="1"/>
  <c r="AV56" i="1"/>
  <c r="AV48" i="1"/>
  <c r="AV40" i="1"/>
  <c r="AV32" i="1"/>
  <c r="AV198" i="1"/>
  <c r="AV190" i="1"/>
  <c r="AV182" i="1"/>
  <c r="AV174" i="1"/>
  <c r="AV166" i="1"/>
  <c r="AV150" i="1"/>
  <c r="AV142" i="1"/>
  <c r="AV134" i="1"/>
  <c r="AV126" i="1"/>
  <c r="AV118" i="1"/>
  <c r="AV110" i="1"/>
  <c r="AV102" i="1"/>
  <c r="AV86" i="1"/>
  <c r="AV78" i="1"/>
  <c r="AV70" i="1"/>
  <c r="AV62" i="1"/>
  <c r="AV54" i="1"/>
  <c r="AV46" i="1"/>
  <c r="AV38" i="1"/>
  <c r="AV170" i="1"/>
  <c r="W131" i="1"/>
  <c r="W115" i="1"/>
  <c r="W107" i="1"/>
  <c r="W99" i="1"/>
  <c r="W83" i="1"/>
  <c r="W75" i="1"/>
  <c r="W67" i="1"/>
  <c r="W51" i="1"/>
  <c r="W43" i="1"/>
  <c r="W35" i="1"/>
  <c r="AV201" i="1"/>
  <c r="AV193" i="1"/>
  <c r="AV185" i="1"/>
  <c r="AV177" i="1"/>
  <c r="AV169" i="1"/>
  <c r="AV161" i="1"/>
  <c r="AV153" i="1"/>
  <c r="AV145" i="1"/>
  <c r="AV137" i="1"/>
  <c r="AV129" i="1"/>
  <c r="AV121" i="1"/>
  <c r="AV113" i="1"/>
  <c r="AV105" i="1"/>
  <c r="AV97" i="1"/>
  <c r="AV89" i="1"/>
  <c r="AV81" i="1"/>
  <c r="AV73" i="1"/>
  <c r="AV65" i="1"/>
  <c r="AV57" i="1"/>
  <c r="AV49" i="1"/>
  <c r="AV41" i="1"/>
  <c r="AV33" i="1"/>
  <c r="AV199" i="1"/>
  <c r="AV191" i="1"/>
  <c r="AV183" i="1"/>
  <c r="AV175" i="1"/>
  <c r="AV167" i="1"/>
  <c r="AV159" i="1"/>
  <c r="AV151" i="1"/>
  <c r="AV143" i="1"/>
  <c r="AV135" i="1"/>
  <c r="AV127" i="1"/>
  <c r="AV119" i="1"/>
  <c r="AV111" i="1"/>
  <c r="AV103" i="1"/>
  <c r="AV95" i="1"/>
  <c r="AV87" i="1"/>
  <c r="AV79" i="1"/>
  <c r="AV71" i="1"/>
  <c r="AV63" i="1"/>
  <c r="AV55" i="1"/>
  <c r="AV47" i="1"/>
  <c r="AV39" i="1"/>
  <c r="AV31" i="1"/>
  <c r="W206" i="1"/>
  <c r="W198" i="1"/>
  <c r="W190" i="1"/>
  <c r="W182" i="1"/>
  <c r="W174" i="1"/>
  <c r="W166" i="1"/>
  <c r="W158" i="1"/>
  <c r="W150" i="1"/>
  <c r="W142" i="1"/>
  <c r="W134" i="1"/>
  <c r="W126" i="1"/>
  <c r="W118" i="1"/>
  <c r="W110" i="1"/>
  <c r="W102" i="1"/>
  <c r="W94" i="1"/>
  <c r="W86" i="1"/>
  <c r="W78" i="1"/>
  <c r="W70" i="1"/>
  <c r="W62" i="1"/>
  <c r="W54" i="1"/>
  <c r="W46" i="1"/>
  <c r="W38" i="1"/>
  <c r="W30" i="1"/>
  <c r="AV196" i="1"/>
  <c r="AV188" i="1"/>
  <c r="AV180" i="1"/>
  <c r="AV172" i="1"/>
  <c r="AV164" i="1"/>
  <c r="AV156" i="1"/>
  <c r="AV148" i="1"/>
  <c r="AV140" i="1"/>
  <c r="AV132" i="1"/>
  <c r="AV124" i="1"/>
  <c r="AV116" i="1"/>
  <c r="AV108" i="1"/>
  <c r="AV100" i="1"/>
  <c r="AV92" i="1"/>
  <c r="AV84" i="1"/>
  <c r="AV76" i="1"/>
  <c r="AV68" i="1"/>
  <c r="AV60" i="1"/>
  <c r="AV52" i="1"/>
  <c r="AV44" i="1"/>
  <c r="AV36" i="1"/>
  <c r="AV28" i="1"/>
  <c r="AV195" i="1"/>
  <c r="AV187" i="1"/>
  <c r="AV179" i="1"/>
  <c r="AV171" i="1"/>
  <c r="AV163" i="1"/>
  <c r="AV155" i="1"/>
  <c r="AV147" i="1"/>
  <c r="AV139" i="1"/>
  <c r="AV131" i="1"/>
  <c r="AV123" i="1"/>
  <c r="AV115" i="1"/>
  <c r="AV107" i="1"/>
  <c r="AV99" i="1"/>
  <c r="AV91" i="1"/>
  <c r="AV83" i="1"/>
  <c r="AV75" i="1"/>
  <c r="AV67" i="1"/>
  <c r="AV59" i="1"/>
  <c r="AV51" i="1"/>
  <c r="AV43" i="1"/>
  <c r="AV35" i="1"/>
  <c r="AV27" i="1"/>
  <c r="AA202" i="1"/>
  <c r="AA194" i="1"/>
  <c r="AA186" i="1"/>
  <c r="AA170" i="1"/>
  <c r="AA162" i="1"/>
  <c r="AA154" i="1"/>
  <c r="AA146" i="1"/>
  <c r="AA138" i="1"/>
  <c r="AA130" i="1"/>
  <c r="AA122" i="1"/>
  <c r="AA114" i="1"/>
  <c r="AA106" i="1"/>
  <c r="AA98" i="1"/>
  <c r="AA90" i="1"/>
  <c r="AA82" i="1"/>
  <c r="AA74" i="1"/>
  <c r="AA66" i="1"/>
  <c r="AA58" i="1"/>
  <c r="AA50" i="1"/>
  <c r="AA42" i="1"/>
  <c r="AA34" i="1"/>
  <c r="AA201" i="1"/>
  <c r="AA193" i="1"/>
  <c r="AA185" i="1"/>
  <c r="AA177" i="1"/>
  <c r="AA169" i="1"/>
  <c r="AA161" i="1"/>
  <c r="AA153" i="1"/>
  <c r="AA145" i="1"/>
  <c r="AA137" i="1"/>
  <c r="AA129" i="1"/>
  <c r="AA121" i="1"/>
  <c r="AA113" i="1"/>
  <c r="AA105" i="1"/>
  <c r="AA97" i="1"/>
  <c r="AA89" i="1"/>
  <c r="AA81" i="1"/>
  <c r="AA73" i="1"/>
  <c r="AA65" i="1"/>
  <c r="AA57" i="1"/>
  <c r="AA49" i="1"/>
  <c r="AA41" i="1"/>
  <c r="AA33" i="1"/>
  <c r="W204" i="1"/>
  <c r="W196" i="1"/>
  <c r="W188" i="1"/>
  <c r="W180" i="1"/>
  <c r="W172" i="1"/>
  <c r="W164" i="1"/>
  <c r="W156" i="1"/>
  <c r="W148" i="1"/>
  <c r="W140" i="1"/>
  <c r="W132" i="1"/>
  <c r="W124" i="1"/>
  <c r="W116" i="1"/>
  <c r="W108" i="1"/>
  <c r="W100" i="1"/>
  <c r="W92" i="1"/>
  <c r="W84" i="1"/>
  <c r="W76" i="1"/>
  <c r="W68" i="1"/>
  <c r="W60" i="1"/>
  <c r="W52" i="1"/>
  <c r="W44" i="1"/>
  <c r="W36" i="1"/>
  <c r="W28" i="1"/>
  <c r="AA200" i="1"/>
  <c r="AA192" i="1"/>
  <c r="AA184" i="1"/>
  <c r="AA176" i="1"/>
  <c r="AA168" i="1"/>
  <c r="AA160" i="1"/>
  <c r="AA152" i="1"/>
  <c r="AA144" i="1"/>
  <c r="AA136" i="1"/>
  <c r="AA128" i="1"/>
  <c r="AA120" i="1"/>
  <c r="AA112" i="1"/>
  <c r="AA104" i="1"/>
  <c r="AA96" i="1"/>
  <c r="AA88" i="1"/>
  <c r="AA80" i="1"/>
  <c r="AA72" i="1"/>
  <c r="AA64" i="1"/>
  <c r="AA56" i="1"/>
  <c r="AA48" i="1"/>
  <c r="AA40" i="1"/>
  <c r="AA32" i="1"/>
  <c r="W186" i="1"/>
  <c r="W154" i="1"/>
  <c r="W122" i="1"/>
  <c r="W90" i="1"/>
  <c r="W58" i="1"/>
  <c r="AA206" i="1"/>
  <c r="AA198" i="1"/>
  <c r="AA190" i="1"/>
  <c r="AA182" i="1"/>
  <c r="AA174" i="1"/>
  <c r="AA166" i="1"/>
  <c r="AA158" i="1"/>
  <c r="AA150" i="1"/>
  <c r="AA142" i="1"/>
  <c r="AA134" i="1"/>
  <c r="AA126" i="1"/>
  <c r="AA118" i="1"/>
  <c r="AA110" i="1"/>
  <c r="AA102" i="1"/>
  <c r="AA94" i="1"/>
  <c r="AA86" i="1"/>
  <c r="AA78" i="1"/>
  <c r="AA70" i="1"/>
  <c r="AA62" i="1"/>
  <c r="AA54" i="1"/>
  <c r="AA46" i="1"/>
  <c r="AA38" i="1"/>
  <c r="AA30" i="1"/>
  <c r="AA203" i="1"/>
  <c r="AA195" i="1"/>
  <c r="AA187" i="1"/>
  <c r="AA179" i="1"/>
  <c r="AA171" i="1"/>
  <c r="AA163" i="1"/>
  <c r="AA155" i="1"/>
  <c r="AA147" i="1"/>
  <c r="AA139" i="1"/>
  <c r="AA131" i="1"/>
  <c r="AA123" i="1"/>
  <c r="AA115" i="1"/>
  <c r="AA107" i="1"/>
  <c r="AA99" i="1"/>
  <c r="AA91" i="1"/>
  <c r="AA83" i="1"/>
  <c r="AA75" i="1"/>
  <c r="AA67" i="1"/>
  <c r="AA59" i="1"/>
  <c r="AA51" i="1"/>
  <c r="AA43" i="1"/>
  <c r="AA35" i="1"/>
  <c r="AA27" i="1"/>
  <c r="AA26" i="1"/>
  <c r="AA178" i="1"/>
  <c r="W202" i="1"/>
  <c r="W194" i="1"/>
  <c r="W178" i="1"/>
  <c r="W170" i="1"/>
  <c r="W162" i="1"/>
  <c r="W146" i="1"/>
  <c r="W138" i="1"/>
  <c r="W130" i="1"/>
  <c r="W114" i="1"/>
  <c r="W106" i="1"/>
  <c r="W98" i="1"/>
  <c r="W82" i="1"/>
  <c r="W74" i="1"/>
  <c r="W66" i="1"/>
  <c r="W50" i="1"/>
  <c r="W42" i="1"/>
  <c r="W34" i="1"/>
  <c r="AA207" i="1"/>
  <c r="AA199" i="1"/>
  <c r="AA191" i="1"/>
  <c r="AA183" i="1"/>
  <c r="AA175" i="1"/>
  <c r="AA167" i="1"/>
  <c r="AA159" i="1"/>
  <c r="AA151" i="1"/>
  <c r="AA143" i="1"/>
  <c r="AA135" i="1"/>
  <c r="AA127" i="1"/>
  <c r="AA119" i="1"/>
  <c r="AA111" i="1"/>
  <c r="AA103" i="1"/>
  <c r="AA95" i="1"/>
  <c r="AA87" i="1"/>
  <c r="AA79" i="1"/>
  <c r="AA71" i="1"/>
  <c r="AA63" i="1"/>
  <c r="AA55" i="1"/>
  <c r="AA47" i="1"/>
  <c r="AA39" i="1"/>
  <c r="AA31" i="1"/>
  <c r="W96" i="1"/>
  <c r="W88" i="1"/>
  <c r="W80" i="1"/>
  <c r="W72" i="1"/>
  <c r="W64" i="1"/>
  <c r="W56" i="1"/>
  <c r="W48" i="1"/>
  <c r="W40" i="1"/>
  <c r="W32" i="1"/>
  <c r="AA205" i="1"/>
  <c r="AA197" i="1"/>
  <c r="AA189" i="1"/>
  <c r="AA181" i="1"/>
  <c r="AA173" i="1"/>
  <c r="AA165" i="1"/>
  <c r="AA157" i="1"/>
  <c r="AA149" i="1"/>
  <c r="AA141" i="1"/>
  <c r="AA133" i="1"/>
  <c r="AA125" i="1"/>
  <c r="AA117" i="1"/>
  <c r="AA109" i="1"/>
  <c r="AA101" i="1"/>
  <c r="AA93" i="1"/>
  <c r="AA85" i="1"/>
  <c r="AA77" i="1"/>
  <c r="AA69" i="1"/>
  <c r="AA61" i="1"/>
  <c r="AA53" i="1"/>
  <c r="AA45" i="1"/>
  <c r="AA37" i="1"/>
  <c r="AA29" i="1"/>
  <c r="W207" i="1"/>
  <c r="W199" i="1"/>
  <c r="W191" i="1"/>
  <c r="W183" i="1"/>
  <c r="W175" i="1"/>
  <c r="W167" i="1"/>
  <c r="W159" i="1"/>
  <c r="W151" i="1"/>
  <c r="W143" i="1"/>
  <c r="W135" i="1"/>
  <c r="W127" i="1"/>
  <c r="W119" i="1"/>
  <c r="W111" i="1"/>
  <c r="W103" i="1"/>
  <c r="W95" i="1"/>
  <c r="W87" i="1"/>
  <c r="W79" i="1"/>
  <c r="W71" i="1"/>
  <c r="W63" i="1"/>
  <c r="W55" i="1"/>
  <c r="W47" i="1"/>
  <c r="W39" i="1"/>
  <c r="W31" i="1"/>
  <c r="AA204" i="1"/>
  <c r="AA196" i="1"/>
  <c r="AA188" i="1"/>
  <c r="AA180" i="1"/>
  <c r="AA172" i="1"/>
  <c r="AA164" i="1"/>
  <c r="AA156" i="1"/>
  <c r="AA148" i="1"/>
  <c r="AA140" i="1"/>
  <c r="AA132" i="1"/>
  <c r="AA124" i="1"/>
  <c r="AA116" i="1"/>
  <c r="AA108" i="1"/>
  <c r="AA100" i="1"/>
  <c r="AA92" i="1"/>
  <c r="AA84" i="1"/>
  <c r="AA76" i="1"/>
  <c r="AA68" i="1"/>
  <c r="AA60" i="1"/>
  <c r="AA52" i="1"/>
  <c r="AA44" i="1"/>
  <c r="AA36" i="1"/>
  <c r="AA28" i="1"/>
  <c r="W187" i="1"/>
  <c r="W155" i="1"/>
  <c r="W123" i="1"/>
  <c r="W91" i="1"/>
  <c r="W59" i="1"/>
  <c r="W26" i="1"/>
  <c r="W200" i="1"/>
  <c r="W192" i="1"/>
  <c r="W184" i="1"/>
  <c r="W176" i="1"/>
  <c r="W168" i="1"/>
  <c r="W160" i="1"/>
  <c r="W152" i="1"/>
  <c r="W144" i="1"/>
  <c r="W136" i="1"/>
  <c r="W128" i="1"/>
  <c r="W120" i="1"/>
  <c r="W112" i="1"/>
  <c r="W104" i="1"/>
  <c r="W205" i="1"/>
  <c r="W197" i="1"/>
  <c r="W189" i="1"/>
  <c r="W181" i="1"/>
  <c r="W173" i="1"/>
  <c r="W165" i="1"/>
  <c r="W157" i="1"/>
  <c r="W149" i="1"/>
  <c r="W141" i="1"/>
  <c r="W133" i="1"/>
  <c r="W125" i="1"/>
  <c r="W117" i="1"/>
  <c r="W109" i="1"/>
  <c r="W101" i="1"/>
  <c r="W93" i="1"/>
  <c r="W85" i="1"/>
  <c r="W77" i="1"/>
  <c r="W69" i="1"/>
  <c r="W61" i="1"/>
  <c r="W53" i="1"/>
  <c r="W45" i="1"/>
  <c r="W37" i="1"/>
  <c r="W29" i="1"/>
  <c r="W27" i="1"/>
  <c r="BT207" i="1"/>
  <c r="BL207" i="1"/>
  <c r="BK207" i="1"/>
  <c r="BJ207" i="1"/>
  <c r="BI207" i="1"/>
  <c r="BF207" i="1"/>
  <c r="BE207" i="1"/>
  <c r="AP207" i="1"/>
  <c r="AG207" i="1"/>
  <c r="AE207" i="1"/>
  <c r="AC207" i="1"/>
  <c r="N207" i="1"/>
  <c r="G207" i="1"/>
  <c r="R207" i="1" l="1"/>
  <c r="AT207" i="1"/>
  <c r="BW207" i="1"/>
  <c r="L207" i="1"/>
  <c r="C207" i="1"/>
  <c r="D207" i="1"/>
  <c r="AO207" i="1"/>
  <c r="BD207" i="1"/>
  <c r="CF207" i="1"/>
  <c r="CH207" i="1"/>
  <c r="E207" i="1" l="1"/>
  <c r="BH207" i="1" s="1"/>
  <c r="F207" i="1"/>
  <c r="BZ214" i="1" l="1"/>
  <c r="AJ214" i="1"/>
  <c r="AM214" i="1"/>
  <c r="CE214" i="1"/>
  <c r="CG214" i="1"/>
  <c r="BG214" i="1"/>
  <c r="CK214" i="1"/>
  <c r="AJ213" i="1"/>
  <c r="CE213" i="1"/>
  <c r="AM213" i="1"/>
  <c r="BG213" i="1"/>
  <c r="BZ213" i="1"/>
  <c r="CG213" i="1"/>
  <c r="CK213" i="1"/>
  <c r="CK208" i="1"/>
  <c r="CK207" i="1"/>
  <c r="CK209" i="1"/>
  <c r="CK210" i="1"/>
  <c r="CK211" i="1"/>
  <c r="CK212" i="1"/>
  <c r="AJ212" i="1"/>
  <c r="AM212" i="1"/>
  <c r="CE212" i="1"/>
  <c r="CG212" i="1"/>
  <c r="BG212" i="1"/>
  <c r="BZ212" i="1"/>
  <c r="BG211" i="1"/>
  <c r="CE211" i="1"/>
  <c r="BZ211" i="1"/>
  <c r="CG211" i="1"/>
  <c r="AJ211" i="1"/>
  <c r="AM211" i="1"/>
  <c r="AJ210" i="1"/>
  <c r="CG210" i="1"/>
  <c r="BG210" i="1"/>
  <c r="BZ210" i="1"/>
  <c r="CE210" i="1"/>
  <c r="AM210" i="1"/>
  <c r="BG4" i="1"/>
  <c r="BG12" i="1"/>
  <c r="BG20" i="1"/>
  <c r="BG28" i="1"/>
  <c r="BG36" i="1"/>
  <c r="BG44" i="1"/>
  <c r="BG52" i="1"/>
  <c r="BG60" i="1"/>
  <c r="BG68" i="1"/>
  <c r="BG76" i="1"/>
  <c r="BG84" i="1"/>
  <c r="BG92" i="1"/>
  <c r="BG100" i="1"/>
  <c r="BG108" i="1"/>
  <c r="BG116" i="1"/>
  <c r="BG124" i="1"/>
  <c r="BG132" i="1"/>
  <c r="BG140" i="1"/>
  <c r="BG148" i="1"/>
  <c r="BG156" i="1"/>
  <c r="BG164" i="1"/>
  <c r="BG172" i="1"/>
  <c r="BG180" i="1"/>
  <c r="BG188" i="1"/>
  <c r="BG196" i="1"/>
  <c r="BG24" i="1"/>
  <c r="BG48" i="1"/>
  <c r="BG88" i="1"/>
  <c r="BG136" i="1"/>
  <c r="BG168" i="1"/>
  <c r="BG17" i="1"/>
  <c r="BG65" i="1"/>
  <c r="BG97" i="1"/>
  <c r="BG153" i="1"/>
  <c r="BG193" i="1"/>
  <c r="BG27" i="1"/>
  <c r="BG67" i="1"/>
  <c r="BG99" i="1"/>
  <c r="BG131" i="1"/>
  <c r="BG171" i="1"/>
  <c r="BG5" i="1"/>
  <c r="BG13" i="1"/>
  <c r="BG21" i="1"/>
  <c r="BG29" i="1"/>
  <c r="BG37" i="1"/>
  <c r="BG45" i="1"/>
  <c r="BG53" i="1"/>
  <c r="BG61" i="1"/>
  <c r="BG69" i="1"/>
  <c r="BG77" i="1"/>
  <c r="BG85" i="1"/>
  <c r="BG93" i="1"/>
  <c r="BG101" i="1"/>
  <c r="BG109" i="1"/>
  <c r="BG117" i="1"/>
  <c r="BG125" i="1"/>
  <c r="BG133" i="1"/>
  <c r="BG141" i="1"/>
  <c r="BG149" i="1"/>
  <c r="BG157" i="1"/>
  <c r="BG165" i="1"/>
  <c r="BG173" i="1"/>
  <c r="BG181" i="1"/>
  <c r="BG189" i="1"/>
  <c r="BG197" i="1"/>
  <c r="BG8" i="1"/>
  <c r="BG72" i="1"/>
  <c r="BG112" i="1"/>
  <c r="BG144" i="1"/>
  <c r="BG176" i="1"/>
  <c r="BG33" i="1"/>
  <c r="BG49" i="1"/>
  <c r="BG73" i="1"/>
  <c r="BG105" i="1"/>
  <c r="BG137" i="1"/>
  <c r="BG169" i="1"/>
  <c r="BG11" i="1"/>
  <c r="BG43" i="1"/>
  <c r="BG75" i="1"/>
  <c r="BG107" i="1"/>
  <c r="BG147" i="1"/>
  <c r="BG195" i="1"/>
  <c r="BG6" i="1"/>
  <c r="BG14" i="1"/>
  <c r="BG22" i="1"/>
  <c r="BG30" i="1"/>
  <c r="BG38" i="1"/>
  <c r="BG46" i="1"/>
  <c r="BG54" i="1"/>
  <c r="BG62" i="1"/>
  <c r="BG70" i="1"/>
  <c r="BG78" i="1"/>
  <c r="BG86" i="1"/>
  <c r="BG94" i="1"/>
  <c r="BG102" i="1"/>
  <c r="BG110" i="1"/>
  <c r="BG118" i="1"/>
  <c r="BG126" i="1"/>
  <c r="BG134" i="1"/>
  <c r="BG142" i="1"/>
  <c r="BG150" i="1"/>
  <c r="BG158" i="1"/>
  <c r="BG166" i="1"/>
  <c r="BG174" i="1"/>
  <c r="BG182" i="1"/>
  <c r="BG190" i="1"/>
  <c r="BG198" i="1"/>
  <c r="BG16" i="1"/>
  <c r="BG40" i="1"/>
  <c r="BG56" i="1"/>
  <c r="BG80" i="1"/>
  <c r="BG104" i="1"/>
  <c r="BG128" i="1"/>
  <c r="BG152" i="1"/>
  <c r="BG184" i="1"/>
  <c r="BG200" i="1"/>
  <c r="BG25" i="1"/>
  <c r="BG57" i="1"/>
  <c r="BG89" i="1"/>
  <c r="BG121" i="1"/>
  <c r="BG129" i="1"/>
  <c r="BG161" i="1"/>
  <c r="BG185" i="1"/>
  <c r="BG201" i="1"/>
  <c r="BG3" i="1"/>
  <c r="BG51" i="1"/>
  <c r="BG83" i="1"/>
  <c r="BG115" i="1"/>
  <c r="BG139" i="1"/>
  <c r="BG163" i="1"/>
  <c r="BG187" i="1"/>
  <c r="BG7" i="1"/>
  <c r="BG15" i="1"/>
  <c r="BG23" i="1"/>
  <c r="BG31" i="1"/>
  <c r="BG39" i="1"/>
  <c r="BG47" i="1"/>
  <c r="BG55" i="1"/>
  <c r="BG63" i="1"/>
  <c r="BG71" i="1"/>
  <c r="BG79" i="1"/>
  <c r="BG87" i="1"/>
  <c r="BG95" i="1"/>
  <c r="BG103" i="1"/>
  <c r="BG111" i="1"/>
  <c r="BG119" i="1"/>
  <c r="BG127" i="1"/>
  <c r="BG135" i="1"/>
  <c r="BG143" i="1"/>
  <c r="BG151" i="1"/>
  <c r="BG159" i="1"/>
  <c r="BG167" i="1"/>
  <c r="BG175" i="1"/>
  <c r="BG183" i="1"/>
  <c r="BG191" i="1"/>
  <c r="BG199" i="1"/>
  <c r="BG32" i="1"/>
  <c r="BG64" i="1"/>
  <c r="BG96" i="1"/>
  <c r="BG120" i="1"/>
  <c r="BG160" i="1"/>
  <c r="BG192" i="1"/>
  <c r="BG9" i="1"/>
  <c r="BG41" i="1"/>
  <c r="BG81" i="1"/>
  <c r="BG113" i="1"/>
  <c r="BG145" i="1"/>
  <c r="BG177" i="1"/>
  <c r="BG19" i="1"/>
  <c r="BG35" i="1"/>
  <c r="BG59" i="1"/>
  <c r="BG91" i="1"/>
  <c r="BG123" i="1"/>
  <c r="BG155" i="1"/>
  <c r="BG179" i="1"/>
  <c r="BG10" i="1"/>
  <c r="BG18" i="1"/>
  <c r="BG26" i="1"/>
  <c r="BG34" i="1"/>
  <c r="BG42" i="1"/>
  <c r="BG50" i="1"/>
  <c r="BG58" i="1"/>
  <c r="BG66" i="1"/>
  <c r="BG74" i="1"/>
  <c r="BG82" i="1"/>
  <c r="BG90" i="1"/>
  <c r="BG98" i="1"/>
  <c r="BG106" i="1"/>
  <c r="BG114" i="1"/>
  <c r="BG122" i="1"/>
  <c r="BG130" i="1"/>
  <c r="BG138" i="1"/>
  <c r="BG146" i="1"/>
  <c r="BG154" i="1"/>
  <c r="BG162" i="1"/>
  <c r="BG170" i="1"/>
  <c r="BG178" i="1"/>
  <c r="BG186" i="1"/>
  <c r="BG194" i="1"/>
  <c r="BG209" i="1"/>
  <c r="BG206" i="1"/>
  <c r="BG208" i="1"/>
  <c r="BG207" i="1"/>
  <c r="CP207" i="1"/>
  <c r="CA207" i="1"/>
  <c r="AJ209" i="1"/>
  <c r="CE209" i="1"/>
  <c r="AM209" i="1"/>
  <c r="CG209" i="1"/>
  <c r="BZ209" i="1"/>
  <c r="AM208" i="1"/>
  <c r="BZ208" i="1"/>
  <c r="CE208" i="1"/>
  <c r="AJ208" i="1"/>
  <c r="CG208" i="1"/>
  <c r="BZ6" i="1"/>
  <c r="BZ14" i="1"/>
  <c r="BZ22" i="1"/>
  <c r="BZ30" i="1"/>
  <c r="BZ38" i="1"/>
  <c r="BZ46" i="1"/>
  <c r="BZ54" i="1"/>
  <c r="BZ62" i="1"/>
  <c r="BZ70" i="1"/>
  <c r="BZ78" i="1"/>
  <c r="BZ86" i="1"/>
  <c r="BZ94" i="1"/>
  <c r="BZ102" i="1"/>
  <c r="BZ110" i="1"/>
  <c r="BZ118" i="1"/>
  <c r="BZ126" i="1"/>
  <c r="BZ134" i="1"/>
  <c r="BZ142" i="1"/>
  <c r="BZ150" i="1"/>
  <c r="BZ158" i="1"/>
  <c r="BZ166" i="1"/>
  <c r="BZ174" i="1"/>
  <c r="BZ182" i="1"/>
  <c r="BZ190" i="1"/>
  <c r="BZ198" i="1"/>
  <c r="BZ7" i="1"/>
  <c r="BZ15" i="1"/>
  <c r="BZ23" i="1"/>
  <c r="BZ31" i="1"/>
  <c r="BZ39" i="1"/>
  <c r="BZ47" i="1"/>
  <c r="BZ55" i="1"/>
  <c r="BZ63" i="1"/>
  <c r="BZ71" i="1"/>
  <c r="BZ79" i="1"/>
  <c r="BZ87" i="1"/>
  <c r="BZ95" i="1"/>
  <c r="BZ103" i="1"/>
  <c r="BZ111" i="1"/>
  <c r="BZ119" i="1"/>
  <c r="BZ127" i="1"/>
  <c r="BZ135" i="1"/>
  <c r="BZ143" i="1"/>
  <c r="BZ151" i="1"/>
  <c r="BZ159" i="1"/>
  <c r="BZ167" i="1"/>
  <c r="BZ175" i="1"/>
  <c r="BZ183" i="1"/>
  <c r="BZ191" i="1"/>
  <c r="BZ199" i="1"/>
  <c r="BZ8" i="1"/>
  <c r="BZ16" i="1"/>
  <c r="BZ24" i="1"/>
  <c r="BZ32" i="1"/>
  <c r="BZ40" i="1"/>
  <c r="BZ48" i="1"/>
  <c r="BZ56" i="1"/>
  <c r="BZ64" i="1"/>
  <c r="BZ72" i="1"/>
  <c r="BZ80" i="1"/>
  <c r="BZ88" i="1"/>
  <c r="BZ96" i="1"/>
  <c r="BZ104" i="1"/>
  <c r="BZ112" i="1"/>
  <c r="BZ120" i="1"/>
  <c r="BZ128" i="1"/>
  <c r="BZ136" i="1"/>
  <c r="BZ144" i="1"/>
  <c r="BZ152" i="1"/>
  <c r="BZ160" i="1"/>
  <c r="BZ168" i="1"/>
  <c r="BZ176" i="1"/>
  <c r="BZ184" i="1"/>
  <c r="BZ192" i="1"/>
  <c r="BZ200" i="1"/>
  <c r="BZ9" i="1"/>
  <c r="BZ17" i="1"/>
  <c r="BZ25" i="1"/>
  <c r="BZ33" i="1"/>
  <c r="BZ41" i="1"/>
  <c r="BZ49" i="1"/>
  <c r="BZ57" i="1"/>
  <c r="BZ65" i="1"/>
  <c r="BZ73" i="1"/>
  <c r="BZ81" i="1"/>
  <c r="BZ89" i="1"/>
  <c r="BZ97" i="1"/>
  <c r="BZ105" i="1"/>
  <c r="BZ113" i="1"/>
  <c r="BZ121" i="1"/>
  <c r="BZ129" i="1"/>
  <c r="BZ137" i="1"/>
  <c r="BZ145" i="1"/>
  <c r="BZ153" i="1"/>
  <c r="BZ161" i="1"/>
  <c r="BZ169" i="1"/>
  <c r="BZ177" i="1"/>
  <c r="BZ185" i="1"/>
  <c r="BZ193" i="1"/>
  <c r="BZ201" i="1"/>
  <c r="BZ10" i="1"/>
  <c r="BZ18" i="1"/>
  <c r="BZ26" i="1"/>
  <c r="BZ34" i="1"/>
  <c r="BZ42" i="1"/>
  <c r="BZ50" i="1"/>
  <c r="BZ58" i="1"/>
  <c r="BZ66" i="1"/>
  <c r="BZ74" i="1"/>
  <c r="BZ82" i="1"/>
  <c r="BZ90" i="1"/>
  <c r="BZ98" i="1"/>
  <c r="BZ106" i="1"/>
  <c r="BZ114" i="1"/>
  <c r="BZ122" i="1"/>
  <c r="BZ130" i="1"/>
  <c r="BZ138" i="1"/>
  <c r="BZ146" i="1"/>
  <c r="BZ154" i="1"/>
  <c r="BZ162" i="1"/>
  <c r="BZ170" i="1"/>
  <c r="BZ178" i="1"/>
  <c r="BZ186" i="1"/>
  <c r="BZ194" i="1"/>
  <c r="BZ3" i="1"/>
  <c r="BZ11" i="1"/>
  <c r="BZ19" i="1"/>
  <c r="BZ27" i="1"/>
  <c r="BZ35" i="1"/>
  <c r="BZ43" i="1"/>
  <c r="BZ51" i="1"/>
  <c r="BZ59" i="1"/>
  <c r="BZ67" i="1"/>
  <c r="BZ75" i="1"/>
  <c r="BZ83" i="1"/>
  <c r="BZ91" i="1"/>
  <c r="BZ99" i="1"/>
  <c r="BZ107" i="1"/>
  <c r="BZ115" i="1"/>
  <c r="BZ123" i="1"/>
  <c r="BZ131" i="1"/>
  <c r="BZ139" i="1"/>
  <c r="BZ147" i="1"/>
  <c r="BZ155" i="1"/>
  <c r="BZ163" i="1"/>
  <c r="BZ171" i="1"/>
  <c r="BZ179" i="1"/>
  <c r="BZ187" i="1"/>
  <c r="BZ195" i="1"/>
  <c r="BZ5" i="1"/>
  <c r="BZ13" i="1"/>
  <c r="BZ21" i="1"/>
  <c r="BZ29" i="1"/>
  <c r="BZ37" i="1"/>
  <c r="BZ45" i="1"/>
  <c r="BZ53" i="1"/>
  <c r="BZ61" i="1"/>
  <c r="BZ69" i="1"/>
  <c r="BZ77" i="1"/>
  <c r="BZ85" i="1"/>
  <c r="BZ93" i="1"/>
  <c r="BZ101" i="1"/>
  <c r="BZ109" i="1"/>
  <c r="BZ117" i="1"/>
  <c r="BZ125" i="1"/>
  <c r="BZ133" i="1"/>
  <c r="BZ141" i="1"/>
  <c r="BZ149" i="1"/>
  <c r="BZ157" i="1"/>
  <c r="BZ165" i="1"/>
  <c r="BZ173" i="1"/>
  <c r="BZ181" i="1"/>
  <c r="BZ189" i="1"/>
  <c r="BZ197" i="1"/>
  <c r="BZ60" i="1"/>
  <c r="BZ124" i="1"/>
  <c r="BZ188" i="1"/>
  <c r="BZ4" i="1"/>
  <c r="BZ68" i="1"/>
  <c r="BZ132" i="1"/>
  <c r="BZ196" i="1"/>
  <c r="BZ12" i="1"/>
  <c r="BZ76" i="1"/>
  <c r="BZ140" i="1"/>
  <c r="BZ20" i="1"/>
  <c r="BZ84" i="1"/>
  <c r="BZ148" i="1"/>
  <c r="BZ28" i="1"/>
  <c r="BZ92" i="1"/>
  <c r="BZ156" i="1"/>
  <c r="BZ36" i="1"/>
  <c r="BZ100" i="1"/>
  <c r="BZ164" i="1"/>
  <c r="BZ44" i="1"/>
  <c r="BZ108" i="1"/>
  <c r="BZ172" i="1"/>
  <c r="BZ52" i="1"/>
  <c r="BZ116" i="1"/>
  <c r="BZ180" i="1"/>
  <c r="BZ207" i="1"/>
  <c r="CG207" i="1"/>
  <c r="CE8" i="1"/>
  <c r="CE16" i="1"/>
  <c r="CE24" i="1"/>
  <c r="CE32" i="1"/>
  <c r="CE40" i="1"/>
  <c r="CE48" i="1"/>
  <c r="CE56" i="1"/>
  <c r="CE64" i="1"/>
  <c r="CE72" i="1"/>
  <c r="CE80" i="1"/>
  <c r="CE88" i="1"/>
  <c r="CE96" i="1"/>
  <c r="CE104" i="1"/>
  <c r="CE112" i="1"/>
  <c r="CE120" i="1"/>
  <c r="CE128" i="1"/>
  <c r="CE136" i="1"/>
  <c r="CE144" i="1"/>
  <c r="CE152" i="1"/>
  <c r="CE160" i="1"/>
  <c r="CE168" i="1"/>
  <c r="CE176" i="1"/>
  <c r="CE184" i="1"/>
  <c r="CE192" i="1"/>
  <c r="CE200" i="1"/>
  <c r="AM5" i="1"/>
  <c r="AM13" i="1"/>
  <c r="AM21" i="1"/>
  <c r="AM29" i="1"/>
  <c r="AM37" i="1"/>
  <c r="AM45" i="1"/>
  <c r="AM53" i="1"/>
  <c r="AM61" i="1"/>
  <c r="AM69" i="1"/>
  <c r="AM77" i="1"/>
  <c r="AM85" i="1"/>
  <c r="AM93" i="1"/>
  <c r="AM101" i="1"/>
  <c r="AM109" i="1"/>
  <c r="AM117" i="1"/>
  <c r="AM125" i="1"/>
  <c r="AM133" i="1"/>
  <c r="AM141" i="1"/>
  <c r="AM149" i="1"/>
  <c r="AM157" i="1"/>
  <c r="AM165" i="1"/>
  <c r="AM173" i="1"/>
  <c r="AM181" i="1"/>
  <c r="AM189" i="1"/>
  <c r="AM197" i="1"/>
  <c r="AJ8" i="1"/>
  <c r="AJ16" i="1"/>
  <c r="AJ24" i="1"/>
  <c r="AJ32" i="1"/>
  <c r="AJ40" i="1"/>
  <c r="AJ48" i="1"/>
  <c r="AJ56" i="1"/>
  <c r="AJ64" i="1"/>
  <c r="AJ72" i="1"/>
  <c r="AJ80" i="1"/>
  <c r="AJ88" i="1"/>
  <c r="AJ96" i="1"/>
  <c r="AJ104" i="1"/>
  <c r="AJ112" i="1"/>
  <c r="AJ120" i="1"/>
  <c r="AJ128" i="1"/>
  <c r="AJ136" i="1"/>
  <c r="AJ144" i="1"/>
  <c r="AJ152" i="1"/>
  <c r="AJ160" i="1"/>
  <c r="AJ168" i="1"/>
  <c r="AJ176" i="1"/>
  <c r="AJ184" i="1"/>
  <c r="AJ192" i="1"/>
  <c r="AJ200" i="1"/>
  <c r="CE18" i="1"/>
  <c r="CE26" i="1"/>
  <c r="CE42" i="1"/>
  <c r="CE58" i="1"/>
  <c r="CE9" i="1"/>
  <c r="CE17" i="1"/>
  <c r="CE25" i="1"/>
  <c r="CE33" i="1"/>
  <c r="CE41" i="1"/>
  <c r="CE49" i="1"/>
  <c r="CE57" i="1"/>
  <c r="CE65" i="1"/>
  <c r="CE73" i="1"/>
  <c r="CE81" i="1"/>
  <c r="CE89" i="1"/>
  <c r="CE97" i="1"/>
  <c r="CE105" i="1"/>
  <c r="CE113" i="1"/>
  <c r="CE121" i="1"/>
  <c r="CE129" i="1"/>
  <c r="CE137" i="1"/>
  <c r="CE145" i="1"/>
  <c r="CE153" i="1"/>
  <c r="CE161" i="1"/>
  <c r="CE169" i="1"/>
  <c r="CE177" i="1"/>
  <c r="CE185" i="1"/>
  <c r="CE193" i="1"/>
  <c r="CE201" i="1"/>
  <c r="AM6" i="1"/>
  <c r="AM14" i="1"/>
  <c r="AM22" i="1"/>
  <c r="AM30" i="1"/>
  <c r="AM38" i="1"/>
  <c r="AM46" i="1"/>
  <c r="AM54" i="1"/>
  <c r="AM62" i="1"/>
  <c r="AM70" i="1"/>
  <c r="AM78" i="1"/>
  <c r="AM86" i="1"/>
  <c r="AM94" i="1"/>
  <c r="AM102" i="1"/>
  <c r="AM110" i="1"/>
  <c r="AM118" i="1"/>
  <c r="AM126" i="1"/>
  <c r="AM134" i="1"/>
  <c r="AM142" i="1"/>
  <c r="AM150" i="1"/>
  <c r="AM158" i="1"/>
  <c r="AM166" i="1"/>
  <c r="AM174" i="1"/>
  <c r="AM182" i="1"/>
  <c r="AM190" i="1"/>
  <c r="AM198" i="1"/>
  <c r="AJ9" i="1"/>
  <c r="AJ17" i="1"/>
  <c r="AJ25" i="1"/>
  <c r="AJ33" i="1"/>
  <c r="AJ41" i="1"/>
  <c r="AJ49" i="1"/>
  <c r="AJ57" i="1"/>
  <c r="AJ65" i="1"/>
  <c r="AJ73" i="1"/>
  <c r="AJ81" i="1"/>
  <c r="AJ89" i="1"/>
  <c r="AJ97" i="1"/>
  <c r="AJ105" i="1"/>
  <c r="AJ113" i="1"/>
  <c r="AJ121" i="1"/>
  <c r="AJ129" i="1"/>
  <c r="AJ137" i="1"/>
  <c r="AJ145" i="1"/>
  <c r="AJ153" i="1"/>
  <c r="AJ161" i="1"/>
  <c r="AJ169" i="1"/>
  <c r="AJ177" i="1"/>
  <c r="AJ185" i="1"/>
  <c r="AJ193" i="1"/>
  <c r="AJ201" i="1"/>
  <c r="CE10" i="1"/>
  <c r="CE34" i="1"/>
  <c r="CE50" i="1"/>
  <c r="CE66" i="1"/>
  <c r="CE3" i="1"/>
  <c r="CE11" i="1"/>
  <c r="CE19" i="1"/>
  <c r="CE27" i="1"/>
  <c r="CE35" i="1"/>
  <c r="CE43" i="1"/>
  <c r="CE51" i="1"/>
  <c r="CE59" i="1"/>
  <c r="CE67" i="1"/>
  <c r="CE75" i="1"/>
  <c r="CE83" i="1"/>
  <c r="CE91" i="1"/>
  <c r="CE99" i="1"/>
  <c r="CE107" i="1"/>
  <c r="CE115" i="1"/>
  <c r="CE123" i="1"/>
  <c r="CE131" i="1"/>
  <c r="CE139" i="1"/>
  <c r="CE147" i="1"/>
  <c r="CE155" i="1"/>
  <c r="CE163" i="1"/>
  <c r="CE171" i="1"/>
  <c r="CE179" i="1"/>
  <c r="CE187" i="1"/>
  <c r="CE195" i="1"/>
  <c r="CE203" i="1"/>
  <c r="AM8" i="1"/>
  <c r="AM16" i="1"/>
  <c r="AM24" i="1"/>
  <c r="AM32" i="1"/>
  <c r="AM40" i="1"/>
  <c r="AM48" i="1"/>
  <c r="AM56" i="1"/>
  <c r="AM64" i="1"/>
  <c r="AM72" i="1"/>
  <c r="AM80" i="1"/>
  <c r="AM88" i="1"/>
  <c r="AM96" i="1"/>
  <c r="AM104" i="1"/>
  <c r="AM112" i="1"/>
  <c r="AM120" i="1"/>
  <c r="AM128" i="1"/>
  <c r="AM136" i="1"/>
  <c r="AM144" i="1"/>
  <c r="AM152" i="1"/>
  <c r="AM160" i="1"/>
  <c r="AM168" i="1"/>
  <c r="AM176" i="1"/>
  <c r="AM184" i="1"/>
  <c r="AM192" i="1"/>
  <c r="AM200" i="1"/>
  <c r="AJ3" i="1"/>
  <c r="AJ11" i="1"/>
  <c r="AJ19" i="1"/>
  <c r="AJ27" i="1"/>
  <c r="AJ35" i="1"/>
  <c r="AJ43" i="1"/>
  <c r="AJ51" i="1"/>
  <c r="AJ59" i="1"/>
  <c r="AJ67" i="1"/>
  <c r="AJ75" i="1"/>
  <c r="AJ83" i="1"/>
  <c r="AJ91" i="1"/>
  <c r="AJ99" i="1"/>
  <c r="AJ107" i="1"/>
  <c r="AJ115" i="1"/>
  <c r="AJ123" i="1"/>
  <c r="AJ131" i="1"/>
  <c r="AJ139" i="1"/>
  <c r="AJ147" i="1"/>
  <c r="AJ155" i="1"/>
  <c r="AJ163" i="1"/>
  <c r="AJ171" i="1"/>
  <c r="AJ179" i="1"/>
  <c r="AJ187" i="1"/>
  <c r="AJ195" i="1"/>
  <c r="CE4" i="1"/>
  <c r="CE12" i="1"/>
  <c r="CE20" i="1"/>
  <c r="CE28" i="1"/>
  <c r="CE36" i="1"/>
  <c r="CE44" i="1"/>
  <c r="CE52" i="1"/>
  <c r="CE60" i="1"/>
  <c r="CE68" i="1"/>
  <c r="CE76" i="1"/>
  <c r="CE84" i="1"/>
  <c r="CE92" i="1"/>
  <c r="CE100" i="1"/>
  <c r="CE108" i="1"/>
  <c r="CE116" i="1"/>
  <c r="CE124" i="1"/>
  <c r="CE132" i="1"/>
  <c r="CE140" i="1"/>
  <c r="CE148" i="1"/>
  <c r="CE156" i="1"/>
  <c r="CE164" i="1"/>
  <c r="CE172" i="1"/>
  <c r="CE180" i="1"/>
  <c r="CE188" i="1"/>
  <c r="CE196" i="1"/>
  <c r="CE204" i="1"/>
  <c r="AM9" i="1"/>
  <c r="AM17" i="1"/>
  <c r="AM25" i="1"/>
  <c r="AM33" i="1"/>
  <c r="AM41" i="1"/>
  <c r="AM49" i="1"/>
  <c r="AM57" i="1"/>
  <c r="AM65" i="1"/>
  <c r="AM73" i="1"/>
  <c r="AM81" i="1"/>
  <c r="AM89" i="1"/>
  <c r="AM97" i="1"/>
  <c r="AM105" i="1"/>
  <c r="AM113" i="1"/>
  <c r="AM121" i="1"/>
  <c r="AM129" i="1"/>
  <c r="AM137" i="1"/>
  <c r="AM145" i="1"/>
  <c r="AM153" i="1"/>
  <c r="AM161" i="1"/>
  <c r="AM169" i="1"/>
  <c r="AM177" i="1"/>
  <c r="AM185" i="1"/>
  <c r="AM193" i="1"/>
  <c r="AM201" i="1"/>
  <c r="AJ4" i="1"/>
  <c r="AJ12" i="1"/>
  <c r="AJ20" i="1"/>
  <c r="AJ28" i="1"/>
  <c r="AJ36" i="1"/>
  <c r="AJ44" i="1"/>
  <c r="AJ52" i="1"/>
  <c r="AJ60" i="1"/>
  <c r="AJ68" i="1"/>
  <c r="AJ76" i="1"/>
  <c r="AJ84" i="1"/>
  <c r="AJ92" i="1"/>
  <c r="AJ100" i="1"/>
  <c r="AJ108" i="1"/>
  <c r="AJ116" i="1"/>
  <c r="AJ124" i="1"/>
  <c r="AJ132" i="1"/>
  <c r="AJ140" i="1"/>
  <c r="AJ148" i="1"/>
  <c r="AJ156" i="1"/>
  <c r="AJ164" i="1"/>
  <c r="AJ172" i="1"/>
  <c r="AJ180" i="1"/>
  <c r="AJ188" i="1"/>
  <c r="AJ196" i="1"/>
  <c r="CE5" i="1"/>
  <c r="CE23" i="1"/>
  <c r="CE46" i="1"/>
  <c r="CE69" i="1"/>
  <c r="CE85" i="1"/>
  <c r="CE101" i="1"/>
  <c r="CE117" i="1"/>
  <c r="CE133" i="1"/>
  <c r="CE149" i="1"/>
  <c r="CE165" i="1"/>
  <c r="CE181" i="1"/>
  <c r="CE197" i="1"/>
  <c r="AM195" i="1"/>
  <c r="AJ166" i="1"/>
  <c r="CE6" i="1"/>
  <c r="CE29" i="1"/>
  <c r="CE47" i="1"/>
  <c r="CE70" i="1"/>
  <c r="CE86" i="1"/>
  <c r="CE102" i="1"/>
  <c r="CE118" i="1"/>
  <c r="CE134" i="1"/>
  <c r="CE150" i="1"/>
  <c r="CE166" i="1"/>
  <c r="CE182" i="1"/>
  <c r="CE198" i="1"/>
  <c r="AM4" i="1"/>
  <c r="AM20" i="1"/>
  <c r="AM36" i="1"/>
  <c r="AM52" i="1"/>
  <c r="AM68" i="1"/>
  <c r="AM84" i="1"/>
  <c r="AM100" i="1"/>
  <c r="AM116" i="1"/>
  <c r="AM132" i="1"/>
  <c r="AM148" i="1"/>
  <c r="AM164" i="1"/>
  <c r="AM180" i="1"/>
  <c r="AM196" i="1"/>
  <c r="AJ7" i="1"/>
  <c r="AJ23" i="1"/>
  <c r="AJ39" i="1"/>
  <c r="AJ55" i="1"/>
  <c r="AJ71" i="1"/>
  <c r="AJ87" i="1"/>
  <c r="AJ103" i="1"/>
  <c r="AJ119" i="1"/>
  <c r="AJ135" i="1"/>
  <c r="AJ151" i="1"/>
  <c r="AJ167" i="1"/>
  <c r="AJ183" i="1"/>
  <c r="AJ199" i="1"/>
  <c r="CE7" i="1"/>
  <c r="CE30" i="1"/>
  <c r="CE53" i="1"/>
  <c r="CE71" i="1"/>
  <c r="CE87" i="1"/>
  <c r="CE103" i="1"/>
  <c r="CE119" i="1"/>
  <c r="CE135" i="1"/>
  <c r="CE151" i="1"/>
  <c r="CE167" i="1"/>
  <c r="CE183" i="1"/>
  <c r="CE199" i="1"/>
  <c r="AM7" i="1"/>
  <c r="AM23" i="1"/>
  <c r="AM39" i="1"/>
  <c r="AM55" i="1"/>
  <c r="AM71" i="1"/>
  <c r="AM87" i="1"/>
  <c r="AM103" i="1"/>
  <c r="AM119" i="1"/>
  <c r="AM135" i="1"/>
  <c r="AM151" i="1"/>
  <c r="AM167" i="1"/>
  <c r="AM183" i="1"/>
  <c r="AM199" i="1"/>
  <c r="AJ10" i="1"/>
  <c r="AJ26" i="1"/>
  <c r="AJ42" i="1"/>
  <c r="AJ58" i="1"/>
  <c r="AJ74" i="1"/>
  <c r="AJ90" i="1"/>
  <c r="AJ106" i="1"/>
  <c r="AJ122" i="1"/>
  <c r="AJ138" i="1"/>
  <c r="AJ154" i="1"/>
  <c r="AJ170" i="1"/>
  <c r="AJ186" i="1"/>
  <c r="AM139" i="1"/>
  <c r="AM187" i="1"/>
  <c r="AJ14" i="1"/>
  <c r="AJ46" i="1"/>
  <c r="AJ62" i="1"/>
  <c r="AJ94" i="1"/>
  <c r="AJ126" i="1"/>
  <c r="AJ158" i="1"/>
  <c r="AJ190" i="1"/>
  <c r="AM66" i="1"/>
  <c r="AM194" i="1"/>
  <c r="AJ101" i="1"/>
  <c r="AM147" i="1"/>
  <c r="AJ38" i="1"/>
  <c r="AJ150" i="1"/>
  <c r="AJ5" i="1"/>
  <c r="AJ149" i="1"/>
  <c r="AM35" i="1"/>
  <c r="AM115" i="1"/>
  <c r="AJ22" i="1"/>
  <c r="AJ134" i="1"/>
  <c r="CE13" i="1"/>
  <c r="CE31" i="1"/>
  <c r="CE54" i="1"/>
  <c r="CE74" i="1"/>
  <c r="CE90" i="1"/>
  <c r="CE106" i="1"/>
  <c r="CE122" i="1"/>
  <c r="CE138" i="1"/>
  <c r="CE154" i="1"/>
  <c r="CE170" i="1"/>
  <c r="CE186" i="1"/>
  <c r="CE202" i="1"/>
  <c r="AM10" i="1"/>
  <c r="AM26" i="1"/>
  <c r="AM42" i="1"/>
  <c r="AM58" i="1"/>
  <c r="AM74" i="1"/>
  <c r="AM90" i="1"/>
  <c r="AM106" i="1"/>
  <c r="AM122" i="1"/>
  <c r="AM138" i="1"/>
  <c r="AM154" i="1"/>
  <c r="AM170" i="1"/>
  <c r="AM186" i="1"/>
  <c r="AJ13" i="1"/>
  <c r="AJ29" i="1"/>
  <c r="AJ45" i="1"/>
  <c r="AJ61" i="1"/>
  <c r="AJ77" i="1"/>
  <c r="AJ93" i="1"/>
  <c r="AJ109" i="1"/>
  <c r="AJ125" i="1"/>
  <c r="AJ141" i="1"/>
  <c r="AJ157" i="1"/>
  <c r="AJ173" i="1"/>
  <c r="AJ189" i="1"/>
  <c r="CE14" i="1"/>
  <c r="CE37" i="1"/>
  <c r="CE55" i="1"/>
  <c r="CE77" i="1"/>
  <c r="CE93" i="1"/>
  <c r="CE109" i="1"/>
  <c r="CE125" i="1"/>
  <c r="CE141" i="1"/>
  <c r="CE157" i="1"/>
  <c r="CE173" i="1"/>
  <c r="CE189" i="1"/>
  <c r="CE205" i="1"/>
  <c r="AM11" i="1"/>
  <c r="AM27" i="1"/>
  <c r="AM43" i="1"/>
  <c r="AM59" i="1"/>
  <c r="AM75" i="1"/>
  <c r="AM91" i="1"/>
  <c r="AM107" i="1"/>
  <c r="AM123" i="1"/>
  <c r="AM155" i="1"/>
  <c r="AM171" i="1"/>
  <c r="AJ30" i="1"/>
  <c r="AJ78" i="1"/>
  <c r="AJ110" i="1"/>
  <c r="AJ142" i="1"/>
  <c r="AJ174" i="1"/>
  <c r="AJ53" i="1"/>
  <c r="AJ181" i="1"/>
  <c r="AM19" i="1"/>
  <c r="AM163" i="1"/>
  <c r="AJ70" i="1"/>
  <c r="CE15" i="1"/>
  <c r="CE38" i="1"/>
  <c r="CE61" i="1"/>
  <c r="CE78" i="1"/>
  <c r="CE94" i="1"/>
  <c r="CE110" i="1"/>
  <c r="CE126" i="1"/>
  <c r="CE142" i="1"/>
  <c r="CE158" i="1"/>
  <c r="CE174" i="1"/>
  <c r="CE190" i="1"/>
  <c r="AM12" i="1"/>
  <c r="AM28" i="1"/>
  <c r="AM44" i="1"/>
  <c r="AM60" i="1"/>
  <c r="AM76" i="1"/>
  <c r="AM92" i="1"/>
  <c r="AM108" i="1"/>
  <c r="AM124" i="1"/>
  <c r="AM140" i="1"/>
  <c r="AM156" i="1"/>
  <c r="AM172" i="1"/>
  <c r="AM188" i="1"/>
  <c r="AJ15" i="1"/>
  <c r="AJ31" i="1"/>
  <c r="AJ47" i="1"/>
  <c r="AJ63" i="1"/>
  <c r="AJ79" i="1"/>
  <c r="AJ95" i="1"/>
  <c r="AJ111" i="1"/>
  <c r="AJ127" i="1"/>
  <c r="AJ143" i="1"/>
  <c r="AJ159" i="1"/>
  <c r="AJ175" i="1"/>
  <c r="AJ191" i="1"/>
  <c r="AJ207" i="1"/>
  <c r="CE22" i="1"/>
  <c r="CE63" i="1"/>
  <c r="CE82" i="1"/>
  <c r="CE98" i="1"/>
  <c r="CE114" i="1"/>
  <c r="CE130" i="1"/>
  <c r="CE162" i="1"/>
  <c r="CE178" i="1"/>
  <c r="AM98" i="1"/>
  <c r="AM146" i="1"/>
  <c r="AM178" i="1"/>
  <c r="AJ37" i="1"/>
  <c r="AJ85" i="1"/>
  <c r="AJ133" i="1"/>
  <c r="AJ197" i="1"/>
  <c r="AM51" i="1"/>
  <c r="AM83" i="1"/>
  <c r="AM131" i="1"/>
  <c r="AJ6" i="1"/>
  <c r="AJ86" i="1"/>
  <c r="AJ118" i="1"/>
  <c r="AJ198" i="1"/>
  <c r="CE21" i="1"/>
  <c r="CE39" i="1"/>
  <c r="CE62" i="1"/>
  <c r="CE79" i="1"/>
  <c r="CE95" i="1"/>
  <c r="CE111" i="1"/>
  <c r="CE127" i="1"/>
  <c r="CE143" i="1"/>
  <c r="CE159" i="1"/>
  <c r="CE175" i="1"/>
  <c r="CE191" i="1"/>
  <c r="CE207" i="1"/>
  <c r="AM15" i="1"/>
  <c r="AM31" i="1"/>
  <c r="AM47" i="1"/>
  <c r="AM63" i="1"/>
  <c r="AM79" i="1"/>
  <c r="AM95" i="1"/>
  <c r="AM111" i="1"/>
  <c r="AM127" i="1"/>
  <c r="AM143" i="1"/>
  <c r="AM159" i="1"/>
  <c r="AM175" i="1"/>
  <c r="AM191" i="1"/>
  <c r="AM207" i="1"/>
  <c r="AJ18" i="1"/>
  <c r="AJ34" i="1"/>
  <c r="AJ50" i="1"/>
  <c r="AJ66" i="1"/>
  <c r="AJ82" i="1"/>
  <c r="AJ98" i="1"/>
  <c r="AJ114" i="1"/>
  <c r="AJ130" i="1"/>
  <c r="AJ146" i="1"/>
  <c r="AJ162" i="1"/>
  <c r="AJ178" i="1"/>
  <c r="AJ194" i="1"/>
  <c r="CE45" i="1"/>
  <c r="CE146" i="1"/>
  <c r="CE194" i="1"/>
  <c r="AM18" i="1"/>
  <c r="AM34" i="1"/>
  <c r="AM50" i="1"/>
  <c r="AM82" i="1"/>
  <c r="AM114" i="1"/>
  <c r="AM130" i="1"/>
  <c r="AM162" i="1"/>
  <c r="AJ21" i="1"/>
  <c r="AJ69" i="1"/>
  <c r="AJ117" i="1"/>
  <c r="AJ165" i="1"/>
  <c r="AM3" i="1"/>
  <c r="AM67" i="1"/>
  <c r="AM99" i="1"/>
  <c r="AM179" i="1"/>
  <c r="AJ54" i="1"/>
  <c r="AJ102" i="1"/>
  <c r="AJ182" i="1"/>
  <c r="AD207" i="1"/>
  <c r="H207" i="1"/>
  <c r="AQ207" i="1"/>
  <c r="BR207" i="1"/>
  <c r="AF207" i="1"/>
  <c r="O207" i="1"/>
  <c r="AH207" i="1"/>
  <c r="AT206" i="1" l="1"/>
  <c r="L206" i="1"/>
  <c r="BZ206" i="1" l="1"/>
  <c r="BW206" i="1"/>
  <c r="CE206" i="1"/>
  <c r="C206" i="1" l="1"/>
  <c r="D206" i="1"/>
  <c r="BD206" i="1"/>
  <c r="CF206" i="1"/>
  <c r="CG206" i="1" s="1"/>
  <c r="CH206" i="1"/>
  <c r="CK206" i="1" s="1"/>
  <c r="F206" i="1" l="1"/>
  <c r="E206" i="1"/>
  <c r="CA206" i="1" l="1"/>
  <c r="BH206" i="1"/>
  <c r="AH206" i="1"/>
  <c r="H206" i="1"/>
  <c r="AF206" i="1"/>
  <c r="CP206" i="1"/>
  <c r="O206" i="1"/>
  <c r="AD206" i="1"/>
  <c r="AQ206" i="1"/>
  <c r="BR206" i="1"/>
  <c r="BT205" i="1" l="1"/>
  <c r="BL205" i="1"/>
  <c r="BK205" i="1"/>
  <c r="BJ205" i="1"/>
  <c r="BI205" i="1"/>
  <c r="BF205" i="1"/>
  <c r="BE205" i="1"/>
  <c r="AW205" i="1"/>
  <c r="AZ205" i="1" s="1"/>
  <c r="AP205" i="1"/>
  <c r="AT205" i="1" s="1"/>
  <c r="BG205" i="1" l="1"/>
  <c r="BZ205" i="1"/>
  <c r="BW205" i="1"/>
  <c r="AG205" i="1"/>
  <c r="AE205" i="1"/>
  <c r="AC205" i="1"/>
  <c r="R205" i="1"/>
  <c r="G205" i="1"/>
  <c r="L205" i="1" s="1"/>
  <c r="C205" i="1" l="1"/>
  <c r="D205" i="1"/>
  <c r="BD205" i="1"/>
  <c r="CF205" i="1"/>
  <c r="CG205" i="1" s="1"/>
  <c r="CH205" i="1"/>
  <c r="CK205" i="1" s="1"/>
  <c r="F205" i="1" l="1"/>
  <c r="E205" i="1"/>
  <c r="BH205" i="1" s="1"/>
  <c r="AF205" i="1" l="1"/>
  <c r="CA205" i="1"/>
  <c r="H205" i="1"/>
  <c r="AH205" i="1"/>
  <c r="CP205" i="1"/>
  <c r="BR205" i="1"/>
  <c r="AQ205" i="1"/>
  <c r="O205" i="1"/>
  <c r="AD205" i="1"/>
  <c r="BT204" i="1" l="1"/>
  <c r="BL204" i="1"/>
  <c r="BK204" i="1"/>
  <c r="BJ204" i="1"/>
  <c r="BI204" i="1"/>
  <c r="BF204" i="1"/>
  <c r="BE204" i="1"/>
  <c r="AW204" i="1"/>
  <c r="AZ204" i="1" s="1"/>
  <c r="AP204" i="1"/>
  <c r="AT204" i="1" s="1"/>
  <c r="AG204" i="1"/>
  <c r="AE204" i="1"/>
  <c r="AC204" i="1"/>
  <c r="R204" i="1"/>
  <c r="G204" i="1"/>
  <c r="L204" i="1" s="1"/>
  <c r="BG204" i="1" l="1"/>
  <c r="BZ204" i="1"/>
  <c r="BW204" i="1"/>
  <c r="C204" i="1"/>
  <c r="D204" i="1"/>
  <c r="BD204" i="1"/>
  <c r="CF204" i="1"/>
  <c r="CG204" i="1" s="1"/>
  <c r="CH204" i="1"/>
  <c r="CK204" i="1" s="1"/>
  <c r="E204" i="1" l="1"/>
  <c r="BH204" i="1" s="1"/>
  <c r="F204" i="1"/>
  <c r="O204" i="1" l="1"/>
  <c r="CA204" i="1"/>
  <c r="AD204" i="1"/>
  <c r="AQ204" i="1"/>
  <c r="BR204" i="1"/>
  <c r="H204" i="1"/>
  <c r="CP204" i="1"/>
  <c r="AF204" i="1"/>
  <c r="AH204" i="1"/>
  <c r="BT203" i="1"/>
  <c r="BV214" i="1" s="1"/>
  <c r="BL203" i="1"/>
  <c r="BN214" i="1" s="1"/>
  <c r="BK203" i="1"/>
  <c r="BJ203" i="1"/>
  <c r="BI203" i="1"/>
  <c r="BF203" i="1"/>
  <c r="BE203" i="1"/>
  <c r="AW203" i="1"/>
  <c r="AP203" i="1"/>
  <c r="AG203" i="1"/>
  <c r="AE203" i="1"/>
  <c r="AC203" i="1"/>
  <c r="BS214" i="1" l="1"/>
  <c r="AT203" i="1"/>
  <c r="AS214" i="1"/>
  <c r="CC214" i="1"/>
  <c r="AZ203" i="1"/>
  <c r="AY214" i="1"/>
  <c r="BG203" i="1"/>
  <c r="BZ203" i="1"/>
  <c r="BW203" i="1"/>
  <c r="G203" i="1"/>
  <c r="C203" i="1"/>
  <c r="D203" i="1"/>
  <c r="BD203" i="1"/>
  <c r="CF203" i="1"/>
  <c r="CG203" i="1" s="1"/>
  <c r="CH203" i="1"/>
  <c r="L203" i="1" l="1"/>
  <c r="J214" i="1"/>
  <c r="R203" i="1"/>
  <c r="Q214" i="1"/>
  <c r="CK203" i="1"/>
  <c r="CL214" i="1" s="1"/>
  <c r="CJ214" i="1"/>
  <c r="F203" i="1"/>
  <c r="E203" i="1"/>
  <c r="AM206" i="1"/>
  <c r="AM205" i="1"/>
  <c r="AM204" i="1"/>
  <c r="AM203" i="1"/>
  <c r="AM202" i="1"/>
  <c r="AJ203" i="1"/>
  <c r="BT202" i="1"/>
  <c r="BL202" i="1"/>
  <c r="BK202" i="1"/>
  <c r="BJ202" i="1"/>
  <c r="BI202" i="1"/>
  <c r="BF202" i="1"/>
  <c r="BE202" i="1"/>
  <c r="AW202" i="1"/>
  <c r="AP202" i="1"/>
  <c r="AJ202" i="1"/>
  <c r="AG202" i="1"/>
  <c r="AE202" i="1"/>
  <c r="AC202" i="1"/>
  <c r="R214" i="1"/>
  <c r="G202" i="1"/>
  <c r="D202" i="1"/>
  <c r="C202" i="1"/>
  <c r="CF201" i="1"/>
  <c r="CG201" i="1" s="1"/>
  <c r="BL201" i="1"/>
  <c r="BO213" i="1" s="1"/>
  <c r="BD201" i="1"/>
  <c r="AO201" i="1"/>
  <c r="D201" i="1"/>
  <c r="C201" i="1"/>
  <c r="CF200" i="1"/>
  <c r="CG200" i="1" s="1"/>
  <c r="BL200" i="1"/>
  <c r="BO212" i="1" s="1"/>
  <c r="BD200" i="1"/>
  <c r="AO200" i="1"/>
  <c r="D200" i="1"/>
  <c r="C200" i="1"/>
  <c r="CF199" i="1"/>
  <c r="CG199" i="1" s="1"/>
  <c r="BL199" i="1"/>
  <c r="BO211" i="1" s="1"/>
  <c r="BD199" i="1"/>
  <c r="AO199" i="1"/>
  <c r="D199" i="1"/>
  <c r="C199" i="1"/>
  <c r="CF198" i="1"/>
  <c r="CG198" i="1" s="1"/>
  <c r="BL198" i="1"/>
  <c r="BO210" i="1" s="1"/>
  <c r="BD198" i="1"/>
  <c r="AO198" i="1"/>
  <c r="D198" i="1"/>
  <c r="C198" i="1"/>
  <c r="CF197" i="1"/>
  <c r="CG197" i="1" s="1"/>
  <c r="BL197" i="1"/>
  <c r="BO209" i="1" s="1"/>
  <c r="BD197" i="1"/>
  <c r="AO197" i="1"/>
  <c r="D197" i="1"/>
  <c r="C197" i="1"/>
  <c r="CF196" i="1"/>
  <c r="CG196" i="1" s="1"/>
  <c r="BL196" i="1"/>
  <c r="BO208" i="1" s="1"/>
  <c r="BD196" i="1"/>
  <c r="AO196" i="1"/>
  <c r="D196" i="1"/>
  <c r="C196" i="1"/>
  <c r="CF195" i="1"/>
  <c r="CG195" i="1" s="1"/>
  <c r="BL195" i="1"/>
  <c r="BD195" i="1"/>
  <c r="AO195" i="1"/>
  <c r="D195" i="1"/>
  <c r="C195" i="1"/>
  <c r="CF194" i="1"/>
  <c r="CG194" i="1" s="1"/>
  <c r="BL194" i="1"/>
  <c r="BD194" i="1"/>
  <c r="AO194" i="1"/>
  <c r="D194" i="1"/>
  <c r="C194" i="1"/>
  <c r="CF193" i="1"/>
  <c r="CG193" i="1" s="1"/>
  <c r="BL193" i="1"/>
  <c r="BD193" i="1"/>
  <c r="AO193" i="1"/>
  <c r="D193" i="1"/>
  <c r="C193" i="1"/>
  <c r="CF192" i="1"/>
  <c r="CG192" i="1" s="1"/>
  <c r="BL192" i="1"/>
  <c r="BD192" i="1"/>
  <c r="AO192" i="1"/>
  <c r="D192" i="1"/>
  <c r="C192" i="1"/>
  <c r="CF191" i="1"/>
  <c r="CG191" i="1" s="1"/>
  <c r="BL191" i="1"/>
  <c r="BD191" i="1"/>
  <c r="AO191" i="1"/>
  <c r="D191" i="1"/>
  <c r="C191" i="1"/>
  <c r="CF190" i="1"/>
  <c r="CG190" i="1" s="1"/>
  <c r="BL190" i="1"/>
  <c r="BD190" i="1"/>
  <c r="AO190" i="1"/>
  <c r="D190" i="1"/>
  <c r="C190" i="1"/>
  <c r="CF189" i="1"/>
  <c r="CG189" i="1" s="1"/>
  <c r="BL189" i="1"/>
  <c r="BD189" i="1"/>
  <c r="AO189" i="1"/>
  <c r="D189" i="1"/>
  <c r="C189" i="1"/>
  <c r="CF188" i="1"/>
  <c r="CG188" i="1" s="1"/>
  <c r="BL188" i="1"/>
  <c r="BD188" i="1"/>
  <c r="AO188" i="1"/>
  <c r="D188" i="1"/>
  <c r="C188" i="1"/>
  <c r="CF187" i="1"/>
  <c r="CG187" i="1" s="1"/>
  <c r="BL187" i="1"/>
  <c r="BD187" i="1"/>
  <c r="AO187" i="1"/>
  <c r="D187" i="1"/>
  <c r="C187" i="1"/>
  <c r="CF186" i="1"/>
  <c r="CG186" i="1" s="1"/>
  <c r="BL186" i="1"/>
  <c r="BD186" i="1"/>
  <c r="AO186" i="1"/>
  <c r="D186" i="1"/>
  <c r="C186" i="1"/>
  <c r="CF185" i="1"/>
  <c r="CG185" i="1" s="1"/>
  <c r="BL185" i="1"/>
  <c r="BD185" i="1"/>
  <c r="AO185" i="1"/>
  <c r="D185" i="1"/>
  <c r="C185" i="1"/>
  <c r="CF184" i="1"/>
  <c r="CG184" i="1" s="1"/>
  <c r="BL184" i="1"/>
  <c r="BD184" i="1"/>
  <c r="AO184" i="1"/>
  <c r="D184" i="1"/>
  <c r="C184" i="1"/>
  <c r="CF183" i="1"/>
  <c r="CG183" i="1" s="1"/>
  <c r="BL183" i="1"/>
  <c r="BD183" i="1"/>
  <c r="AO183" i="1"/>
  <c r="D183" i="1"/>
  <c r="C183" i="1"/>
  <c r="CF182" i="1"/>
  <c r="CG182" i="1" s="1"/>
  <c r="BL182" i="1"/>
  <c r="BD182" i="1"/>
  <c r="AO182" i="1"/>
  <c r="D182" i="1"/>
  <c r="C182" i="1"/>
  <c r="CF181" i="1"/>
  <c r="CG181" i="1" s="1"/>
  <c r="BL181" i="1"/>
  <c r="BD181" i="1"/>
  <c r="AO181" i="1"/>
  <c r="D181" i="1"/>
  <c r="C181" i="1"/>
  <c r="CF180" i="1"/>
  <c r="CG180" i="1" s="1"/>
  <c r="BL180" i="1"/>
  <c r="BD180" i="1"/>
  <c r="AO180" i="1"/>
  <c r="D180" i="1"/>
  <c r="C180" i="1"/>
  <c r="CF179" i="1"/>
  <c r="CG179" i="1" s="1"/>
  <c r="BL179" i="1"/>
  <c r="BD179" i="1"/>
  <c r="AO179" i="1"/>
  <c r="D179" i="1"/>
  <c r="C179" i="1"/>
  <c r="CF178" i="1"/>
  <c r="CG178" i="1" s="1"/>
  <c r="BL178" i="1"/>
  <c r="BD178" i="1"/>
  <c r="AO178" i="1"/>
  <c r="D178" i="1"/>
  <c r="C178" i="1"/>
  <c r="CF177" i="1"/>
  <c r="CG177" i="1" s="1"/>
  <c r="BL177" i="1"/>
  <c r="BD177" i="1"/>
  <c r="AO177" i="1"/>
  <c r="D177" i="1"/>
  <c r="C177" i="1"/>
  <c r="CF176" i="1"/>
  <c r="CG176" i="1" s="1"/>
  <c r="BL176" i="1"/>
  <c r="BD176" i="1"/>
  <c r="AO176" i="1"/>
  <c r="D176" i="1"/>
  <c r="C176" i="1"/>
  <c r="CF175" i="1"/>
  <c r="CG175" i="1" s="1"/>
  <c r="BL175" i="1"/>
  <c r="BD175" i="1"/>
  <c r="AO175" i="1"/>
  <c r="D175" i="1"/>
  <c r="C175" i="1"/>
  <c r="CF174" i="1"/>
  <c r="CG174" i="1" s="1"/>
  <c r="BL174" i="1"/>
  <c r="BD174" i="1"/>
  <c r="AO174" i="1"/>
  <c r="D174" i="1"/>
  <c r="C174" i="1"/>
  <c r="CF173" i="1"/>
  <c r="CG173" i="1" s="1"/>
  <c r="BL173" i="1"/>
  <c r="BD173" i="1"/>
  <c r="AO173" i="1"/>
  <c r="D173" i="1"/>
  <c r="C173" i="1"/>
  <c r="CF172" i="1"/>
  <c r="CG172" i="1" s="1"/>
  <c r="BL172" i="1"/>
  <c r="BD172" i="1"/>
  <c r="AO172" i="1"/>
  <c r="D172" i="1"/>
  <c r="C172" i="1"/>
  <c r="CF171" i="1"/>
  <c r="CG171" i="1" s="1"/>
  <c r="BL171" i="1"/>
  <c r="BD171" i="1"/>
  <c r="AO171" i="1"/>
  <c r="D171" i="1"/>
  <c r="C171" i="1"/>
  <c r="CF170" i="1"/>
  <c r="CG170" i="1" s="1"/>
  <c r="BL170" i="1"/>
  <c r="BD170" i="1"/>
  <c r="AO170" i="1"/>
  <c r="D170" i="1"/>
  <c r="C170" i="1"/>
  <c r="CF169" i="1"/>
  <c r="CG169" i="1" s="1"/>
  <c r="BL169" i="1"/>
  <c r="BD169" i="1"/>
  <c r="AO169" i="1"/>
  <c r="D169" i="1"/>
  <c r="C169" i="1"/>
  <c r="CF168" i="1"/>
  <c r="CG168" i="1" s="1"/>
  <c r="BL168" i="1"/>
  <c r="BD168" i="1"/>
  <c r="AO168" i="1"/>
  <c r="D168" i="1"/>
  <c r="C168" i="1"/>
  <c r="CF167" i="1"/>
  <c r="CG167" i="1" s="1"/>
  <c r="BL167" i="1"/>
  <c r="BD167" i="1"/>
  <c r="AO167" i="1"/>
  <c r="D167" i="1"/>
  <c r="C167" i="1"/>
  <c r="CF166" i="1"/>
  <c r="CG166" i="1" s="1"/>
  <c r="BL166" i="1"/>
  <c r="BD166" i="1"/>
  <c r="AO166" i="1"/>
  <c r="D166" i="1"/>
  <c r="C166" i="1"/>
  <c r="CF165" i="1"/>
  <c r="CG165" i="1" s="1"/>
  <c r="BL165" i="1"/>
  <c r="BD165" i="1"/>
  <c r="AO165" i="1"/>
  <c r="D165" i="1"/>
  <c r="C165" i="1"/>
  <c r="CF164" i="1"/>
  <c r="CG164" i="1" s="1"/>
  <c r="BL164" i="1"/>
  <c r="BD164" i="1"/>
  <c r="AO164" i="1"/>
  <c r="D164" i="1"/>
  <c r="C164" i="1"/>
  <c r="CF163" i="1"/>
  <c r="CG163" i="1" s="1"/>
  <c r="BL163" i="1"/>
  <c r="BD163" i="1"/>
  <c r="AO163" i="1"/>
  <c r="D163" i="1"/>
  <c r="C163" i="1"/>
  <c r="CF162" i="1"/>
  <c r="CG162" i="1" s="1"/>
  <c r="BL162" i="1"/>
  <c r="BD162" i="1"/>
  <c r="AO162" i="1"/>
  <c r="D162" i="1"/>
  <c r="C162" i="1"/>
  <c r="CF161" i="1"/>
  <c r="CG161" i="1" s="1"/>
  <c r="BL161" i="1"/>
  <c r="BD161" i="1"/>
  <c r="AO161" i="1"/>
  <c r="D161" i="1"/>
  <c r="C161" i="1"/>
  <c r="CF160" i="1"/>
  <c r="CG160" i="1" s="1"/>
  <c r="BL160" i="1"/>
  <c r="BD160" i="1"/>
  <c r="AO160" i="1"/>
  <c r="D160" i="1"/>
  <c r="C160" i="1"/>
  <c r="CF159" i="1"/>
  <c r="CG159" i="1" s="1"/>
  <c r="BL159" i="1"/>
  <c r="BD159" i="1"/>
  <c r="AO159" i="1"/>
  <c r="D159" i="1"/>
  <c r="C159" i="1"/>
  <c r="CF158" i="1"/>
  <c r="CG158" i="1" s="1"/>
  <c r="BL158" i="1"/>
  <c r="BD158" i="1"/>
  <c r="AO158" i="1"/>
  <c r="D158" i="1"/>
  <c r="C158" i="1"/>
  <c r="CF157" i="1"/>
  <c r="CG157" i="1" s="1"/>
  <c r="BL157" i="1"/>
  <c r="BD157" i="1"/>
  <c r="AO157" i="1"/>
  <c r="D157" i="1"/>
  <c r="C157" i="1"/>
  <c r="CF156" i="1"/>
  <c r="CG156" i="1" s="1"/>
  <c r="BL156" i="1"/>
  <c r="BD156" i="1"/>
  <c r="AO156" i="1"/>
  <c r="D156" i="1"/>
  <c r="C156" i="1"/>
  <c r="CF155" i="1"/>
  <c r="CG155" i="1" s="1"/>
  <c r="BL155" i="1"/>
  <c r="BD155" i="1"/>
  <c r="AO155" i="1"/>
  <c r="D155" i="1"/>
  <c r="C155" i="1"/>
  <c r="CF154" i="1"/>
  <c r="CG154" i="1" s="1"/>
  <c r="BL154" i="1"/>
  <c r="BD154" i="1"/>
  <c r="AO154" i="1"/>
  <c r="D154" i="1"/>
  <c r="C154" i="1"/>
  <c r="CF153" i="1"/>
  <c r="CG153" i="1" s="1"/>
  <c r="BL153" i="1"/>
  <c r="BD153" i="1"/>
  <c r="AO153" i="1"/>
  <c r="D153" i="1"/>
  <c r="C153" i="1"/>
  <c r="CF152" i="1"/>
  <c r="CG152" i="1" s="1"/>
  <c r="BL152" i="1"/>
  <c r="BD152" i="1"/>
  <c r="AO152" i="1"/>
  <c r="D152" i="1"/>
  <c r="C152" i="1"/>
  <c r="CF151" i="1"/>
  <c r="CG151" i="1" s="1"/>
  <c r="BL151" i="1"/>
  <c r="BD151" i="1"/>
  <c r="AO151" i="1"/>
  <c r="D151" i="1"/>
  <c r="C151" i="1"/>
  <c r="CF150" i="1"/>
  <c r="CG150" i="1" s="1"/>
  <c r="BL150" i="1"/>
  <c r="BD150" i="1"/>
  <c r="AO150" i="1"/>
  <c r="D150" i="1"/>
  <c r="C150" i="1"/>
  <c r="CF149" i="1"/>
  <c r="CG149" i="1" s="1"/>
  <c r="BL149" i="1"/>
  <c r="BD149" i="1"/>
  <c r="AO149" i="1"/>
  <c r="D149" i="1"/>
  <c r="C149" i="1"/>
  <c r="CF148" i="1"/>
  <c r="CG148" i="1" s="1"/>
  <c r="BL148" i="1"/>
  <c r="BD148" i="1"/>
  <c r="AO148" i="1"/>
  <c r="D148" i="1"/>
  <c r="C148" i="1"/>
  <c r="CF147" i="1"/>
  <c r="CG147" i="1" s="1"/>
  <c r="BL147" i="1"/>
  <c r="BD147" i="1"/>
  <c r="AO147" i="1"/>
  <c r="D147" i="1"/>
  <c r="C147" i="1"/>
  <c r="CF146" i="1"/>
  <c r="CG146" i="1" s="1"/>
  <c r="BL146" i="1"/>
  <c r="BD146" i="1"/>
  <c r="AO146" i="1"/>
  <c r="D146" i="1"/>
  <c r="C146" i="1"/>
  <c r="CF145" i="1"/>
  <c r="CG145" i="1" s="1"/>
  <c r="BL145" i="1"/>
  <c r="BD145" i="1"/>
  <c r="AO145" i="1"/>
  <c r="D145" i="1"/>
  <c r="C145" i="1"/>
  <c r="CF144" i="1"/>
  <c r="CG144" i="1" s="1"/>
  <c r="BL144" i="1"/>
  <c r="BD144" i="1"/>
  <c r="AO144" i="1"/>
  <c r="D144" i="1"/>
  <c r="C144" i="1"/>
  <c r="CF143" i="1"/>
  <c r="CG143" i="1" s="1"/>
  <c r="BL143" i="1"/>
  <c r="BD143" i="1"/>
  <c r="AO143" i="1"/>
  <c r="D143" i="1"/>
  <c r="C143" i="1"/>
  <c r="CF142" i="1"/>
  <c r="CG142" i="1" s="1"/>
  <c r="BL142" i="1"/>
  <c r="BD142" i="1"/>
  <c r="AO142" i="1"/>
  <c r="D142" i="1"/>
  <c r="C142" i="1"/>
  <c r="CF141" i="1"/>
  <c r="CG141" i="1" s="1"/>
  <c r="BL141" i="1"/>
  <c r="BD141" i="1"/>
  <c r="AO141" i="1"/>
  <c r="D141" i="1"/>
  <c r="C141" i="1"/>
  <c r="CF140" i="1"/>
  <c r="CG140" i="1" s="1"/>
  <c r="BL140" i="1"/>
  <c r="BD140" i="1"/>
  <c r="AO140" i="1"/>
  <c r="D140" i="1"/>
  <c r="C140" i="1"/>
  <c r="CF139" i="1"/>
  <c r="CG139" i="1" s="1"/>
  <c r="BL139" i="1"/>
  <c r="BD139" i="1"/>
  <c r="AO139" i="1"/>
  <c r="D139" i="1"/>
  <c r="C139" i="1"/>
  <c r="CF138" i="1"/>
  <c r="CG138" i="1" s="1"/>
  <c r="BL138" i="1"/>
  <c r="BD138" i="1"/>
  <c r="AO138" i="1"/>
  <c r="D138" i="1"/>
  <c r="C138" i="1"/>
  <c r="CF137" i="1"/>
  <c r="CG137" i="1" s="1"/>
  <c r="BL137" i="1"/>
  <c r="BD137" i="1"/>
  <c r="AO137" i="1"/>
  <c r="D137" i="1"/>
  <c r="C137" i="1"/>
  <c r="CF136" i="1"/>
  <c r="CG136" i="1" s="1"/>
  <c r="BL136" i="1"/>
  <c r="BD136" i="1"/>
  <c r="AO136" i="1"/>
  <c r="D136" i="1"/>
  <c r="C136" i="1"/>
  <c r="CF135" i="1"/>
  <c r="CG135" i="1" s="1"/>
  <c r="BL135" i="1"/>
  <c r="BD135" i="1"/>
  <c r="AO135" i="1"/>
  <c r="D135" i="1"/>
  <c r="C135" i="1"/>
  <c r="CF134" i="1"/>
  <c r="CG134" i="1" s="1"/>
  <c r="BL134" i="1"/>
  <c r="BD134" i="1"/>
  <c r="AO134" i="1"/>
  <c r="D134" i="1"/>
  <c r="C134" i="1"/>
  <c r="CF133" i="1"/>
  <c r="CG133" i="1" s="1"/>
  <c r="BL133" i="1"/>
  <c r="BD133" i="1"/>
  <c r="AO133" i="1"/>
  <c r="D133" i="1"/>
  <c r="C133" i="1"/>
  <c r="CF132" i="1"/>
  <c r="CG132" i="1" s="1"/>
  <c r="BL132" i="1"/>
  <c r="BD132" i="1"/>
  <c r="AO132" i="1"/>
  <c r="D132" i="1"/>
  <c r="C132" i="1"/>
  <c r="CF131" i="1"/>
  <c r="CG131" i="1" s="1"/>
  <c r="BL131" i="1"/>
  <c r="BD131" i="1"/>
  <c r="AO131" i="1"/>
  <c r="D131" i="1"/>
  <c r="C131" i="1"/>
  <c r="CF130" i="1"/>
  <c r="CG130" i="1" s="1"/>
  <c r="BL130" i="1"/>
  <c r="BD130" i="1"/>
  <c r="AO130" i="1"/>
  <c r="D130" i="1"/>
  <c r="C130" i="1"/>
  <c r="CF129" i="1"/>
  <c r="CG129" i="1" s="1"/>
  <c r="BL129" i="1"/>
  <c r="BD129" i="1"/>
  <c r="AO129" i="1"/>
  <c r="D129" i="1"/>
  <c r="C129" i="1"/>
  <c r="CF128" i="1"/>
  <c r="CG128" i="1" s="1"/>
  <c r="BL128" i="1"/>
  <c r="BD128" i="1"/>
  <c r="AO128" i="1"/>
  <c r="D128" i="1"/>
  <c r="C128" i="1"/>
  <c r="CF127" i="1"/>
  <c r="CG127" i="1" s="1"/>
  <c r="BL127" i="1"/>
  <c r="BD127" i="1"/>
  <c r="AO127" i="1"/>
  <c r="D127" i="1"/>
  <c r="C127" i="1"/>
  <c r="CF126" i="1"/>
  <c r="CG126" i="1" s="1"/>
  <c r="BL126" i="1"/>
  <c r="BD126" i="1"/>
  <c r="AO126" i="1"/>
  <c r="D126" i="1"/>
  <c r="C126" i="1"/>
  <c r="CF125" i="1"/>
  <c r="CG125" i="1" s="1"/>
  <c r="BL125" i="1"/>
  <c r="BD125" i="1"/>
  <c r="AO125" i="1"/>
  <c r="D125" i="1"/>
  <c r="C125" i="1"/>
  <c r="CF124" i="1"/>
  <c r="CG124" i="1" s="1"/>
  <c r="BL124" i="1"/>
  <c r="BD124" i="1"/>
  <c r="AO124" i="1"/>
  <c r="D124" i="1"/>
  <c r="C124" i="1"/>
  <c r="CF123" i="1"/>
  <c r="CG123" i="1" s="1"/>
  <c r="BL123" i="1"/>
  <c r="BD123" i="1"/>
  <c r="AO123" i="1"/>
  <c r="D123" i="1"/>
  <c r="C123" i="1"/>
  <c r="CF122" i="1"/>
  <c r="CG122" i="1" s="1"/>
  <c r="BL122" i="1"/>
  <c r="BD122" i="1"/>
  <c r="AO122" i="1"/>
  <c r="D122" i="1"/>
  <c r="C122" i="1"/>
  <c r="CF121" i="1"/>
  <c r="CG121" i="1" s="1"/>
  <c r="BL121" i="1"/>
  <c r="BD121" i="1"/>
  <c r="AO121" i="1"/>
  <c r="D121" i="1"/>
  <c r="C121" i="1"/>
  <c r="CF120" i="1"/>
  <c r="CG120" i="1" s="1"/>
  <c r="BL120" i="1"/>
  <c r="BD120" i="1"/>
  <c r="AO120" i="1"/>
  <c r="D120" i="1"/>
  <c r="C120" i="1"/>
  <c r="CF119" i="1"/>
  <c r="CG119" i="1" s="1"/>
  <c r="BL119" i="1"/>
  <c r="BD119" i="1"/>
  <c r="AO119" i="1"/>
  <c r="D119" i="1"/>
  <c r="C119" i="1"/>
  <c r="CF118" i="1"/>
  <c r="CG118" i="1" s="1"/>
  <c r="BL118" i="1"/>
  <c r="BD118" i="1"/>
  <c r="AO118" i="1"/>
  <c r="D118" i="1"/>
  <c r="C118" i="1"/>
  <c r="CF117" i="1"/>
  <c r="CG117" i="1" s="1"/>
  <c r="BL117" i="1"/>
  <c r="BD117" i="1"/>
  <c r="AO117" i="1"/>
  <c r="D117" i="1"/>
  <c r="C117" i="1"/>
  <c r="CF116" i="1"/>
  <c r="CG116" i="1" s="1"/>
  <c r="BL116" i="1"/>
  <c r="BD116" i="1"/>
  <c r="AO116" i="1"/>
  <c r="D116" i="1"/>
  <c r="C116" i="1"/>
  <c r="CF115" i="1"/>
  <c r="CG115" i="1" s="1"/>
  <c r="BL115" i="1"/>
  <c r="BD115" i="1"/>
  <c r="AO115" i="1"/>
  <c r="D115" i="1"/>
  <c r="C115" i="1"/>
  <c r="CF114" i="1"/>
  <c r="CG114" i="1" s="1"/>
  <c r="BL114" i="1"/>
  <c r="BD114" i="1"/>
  <c r="AO114" i="1"/>
  <c r="D114" i="1"/>
  <c r="C114" i="1"/>
  <c r="CF113" i="1"/>
  <c r="CG113" i="1" s="1"/>
  <c r="BL113" i="1"/>
  <c r="BD113" i="1"/>
  <c r="AO113" i="1"/>
  <c r="D113" i="1"/>
  <c r="C113" i="1"/>
  <c r="CF112" i="1"/>
  <c r="CG112" i="1" s="1"/>
  <c r="BL112" i="1"/>
  <c r="BD112" i="1"/>
  <c r="AO112" i="1"/>
  <c r="D112" i="1"/>
  <c r="C112" i="1"/>
  <c r="CF111" i="1"/>
  <c r="CG111" i="1" s="1"/>
  <c r="BL111" i="1"/>
  <c r="BD111" i="1"/>
  <c r="AO111" i="1"/>
  <c r="D111" i="1"/>
  <c r="C111" i="1"/>
  <c r="CF110" i="1"/>
  <c r="CG110" i="1" s="1"/>
  <c r="BL110" i="1"/>
  <c r="BD110" i="1"/>
  <c r="AO110" i="1"/>
  <c r="D110" i="1"/>
  <c r="C110" i="1"/>
  <c r="CF109" i="1"/>
  <c r="CG109" i="1" s="1"/>
  <c r="BL109" i="1"/>
  <c r="BD109" i="1"/>
  <c r="AO109" i="1"/>
  <c r="D109" i="1"/>
  <c r="C109" i="1"/>
  <c r="CF108" i="1"/>
  <c r="CG108" i="1" s="1"/>
  <c r="BL108" i="1"/>
  <c r="BD108" i="1"/>
  <c r="AO108" i="1"/>
  <c r="D108" i="1"/>
  <c r="C108" i="1"/>
  <c r="CF107" i="1"/>
  <c r="CG107" i="1" s="1"/>
  <c r="BL107" i="1"/>
  <c r="BD107" i="1"/>
  <c r="AO107" i="1"/>
  <c r="D107" i="1"/>
  <c r="C107" i="1"/>
  <c r="CF106" i="1"/>
  <c r="CG106" i="1" s="1"/>
  <c r="BL106" i="1"/>
  <c r="BD106" i="1"/>
  <c r="AO106" i="1"/>
  <c r="D106" i="1"/>
  <c r="C106" i="1"/>
  <c r="CF105" i="1"/>
  <c r="CG105" i="1" s="1"/>
  <c r="BL105" i="1"/>
  <c r="BD105" i="1"/>
  <c r="AO105" i="1"/>
  <c r="D105" i="1"/>
  <c r="C105" i="1"/>
  <c r="CF104" i="1"/>
  <c r="CG104" i="1" s="1"/>
  <c r="BL104" i="1"/>
  <c r="BD104" i="1"/>
  <c r="AO104" i="1"/>
  <c r="D104" i="1"/>
  <c r="C104" i="1"/>
  <c r="CF103" i="1"/>
  <c r="CG103" i="1" s="1"/>
  <c r="BL103" i="1"/>
  <c r="BD103" i="1"/>
  <c r="AO103" i="1"/>
  <c r="D103" i="1"/>
  <c r="C103" i="1"/>
  <c r="CF102" i="1"/>
  <c r="CG102" i="1" s="1"/>
  <c r="BL102" i="1"/>
  <c r="BD102" i="1"/>
  <c r="AO102" i="1"/>
  <c r="D102" i="1"/>
  <c r="C102" i="1"/>
  <c r="CF101" i="1"/>
  <c r="CG101" i="1" s="1"/>
  <c r="BL101" i="1"/>
  <c r="BD101" i="1"/>
  <c r="AO101" i="1"/>
  <c r="D101" i="1"/>
  <c r="C101" i="1"/>
  <c r="CF100" i="1"/>
  <c r="CG100" i="1" s="1"/>
  <c r="BL100" i="1"/>
  <c r="BD100" i="1"/>
  <c r="AO100" i="1"/>
  <c r="D100" i="1"/>
  <c r="C100" i="1"/>
  <c r="CF99" i="1"/>
  <c r="CG99" i="1" s="1"/>
  <c r="BL99" i="1"/>
  <c r="BD99" i="1"/>
  <c r="AO99" i="1"/>
  <c r="D99" i="1"/>
  <c r="C99" i="1"/>
  <c r="CF98" i="1"/>
  <c r="CG98" i="1" s="1"/>
  <c r="BL98" i="1"/>
  <c r="BD98" i="1"/>
  <c r="AO98" i="1"/>
  <c r="D98" i="1"/>
  <c r="C98" i="1"/>
  <c r="CF97" i="1"/>
  <c r="CG97" i="1" s="1"/>
  <c r="BL97" i="1"/>
  <c r="BD97" i="1"/>
  <c r="AO97" i="1"/>
  <c r="D97" i="1"/>
  <c r="C97" i="1"/>
  <c r="CF96" i="1"/>
  <c r="CG96" i="1" s="1"/>
  <c r="BL96" i="1"/>
  <c r="BD96" i="1"/>
  <c r="AO96" i="1"/>
  <c r="D96" i="1"/>
  <c r="C96" i="1"/>
  <c r="CF95" i="1"/>
  <c r="CG95" i="1" s="1"/>
  <c r="BL95" i="1"/>
  <c r="BD95" i="1"/>
  <c r="AO95" i="1"/>
  <c r="D95" i="1"/>
  <c r="C95" i="1"/>
  <c r="CF94" i="1"/>
  <c r="CG94" i="1" s="1"/>
  <c r="BL94" i="1"/>
  <c r="BD94" i="1"/>
  <c r="AO94" i="1"/>
  <c r="D94" i="1"/>
  <c r="C94" i="1"/>
  <c r="CF93" i="1"/>
  <c r="CG93" i="1" s="1"/>
  <c r="BL93" i="1"/>
  <c r="BD93" i="1"/>
  <c r="AO93" i="1"/>
  <c r="D93" i="1"/>
  <c r="C93" i="1"/>
  <c r="CF92" i="1"/>
  <c r="CG92" i="1" s="1"/>
  <c r="BL92" i="1"/>
  <c r="BD92" i="1"/>
  <c r="AO92" i="1"/>
  <c r="D92" i="1"/>
  <c r="C92" i="1"/>
  <c r="CF91" i="1"/>
  <c r="CG91" i="1" s="1"/>
  <c r="BL91" i="1"/>
  <c r="BD91" i="1"/>
  <c r="AO91" i="1"/>
  <c r="D91" i="1"/>
  <c r="C91" i="1"/>
  <c r="CF90" i="1"/>
  <c r="CG90" i="1" s="1"/>
  <c r="BL90" i="1"/>
  <c r="BD90" i="1"/>
  <c r="AO90" i="1"/>
  <c r="D90" i="1"/>
  <c r="C90" i="1"/>
  <c r="CF89" i="1"/>
  <c r="CG89" i="1" s="1"/>
  <c r="BL89" i="1"/>
  <c r="BD89" i="1"/>
  <c r="AO89" i="1"/>
  <c r="D89" i="1"/>
  <c r="C89" i="1"/>
  <c r="CF88" i="1"/>
  <c r="CG88" i="1" s="1"/>
  <c r="BL88" i="1"/>
  <c r="BD88" i="1"/>
  <c r="AO88" i="1"/>
  <c r="D88" i="1"/>
  <c r="C88" i="1"/>
  <c r="CF87" i="1"/>
  <c r="CG87" i="1" s="1"/>
  <c r="BL87" i="1"/>
  <c r="BD87" i="1"/>
  <c r="AO87" i="1"/>
  <c r="D87" i="1"/>
  <c r="C87" i="1"/>
  <c r="CF86" i="1"/>
  <c r="CG86" i="1" s="1"/>
  <c r="BL86" i="1"/>
  <c r="BD86" i="1"/>
  <c r="AO86" i="1"/>
  <c r="D86" i="1"/>
  <c r="C86" i="1"/>
  <c r="CF85" i="1"/>
  <c r="CG85" i="1" s="1"/>
  <c r="BL85" i="1"/>
  <c r="BD85" i="1"/>
  <c r="AO85" i="1"/>
  <c r="D85" i="1"/>
  <c r="C85" i="1"/>
  <c r="CF84" i="1"/>
  <c r="CG84" i="1" s="1"/>
  <c r="BL84" i="1"/>
  <c r="BD84" i="1"/>
  <c r="AO84" i="1"/>
  <c r="D84" i="1"/>
  <c r="C84" i="1"/>
  <c r="CF83" i="1"/>
  <c r="CG83" i="1" s="1"/>
  <c r="BL83" i="1"/>
  <c r="BD83" i="1"/>
  <c r="AO83" i="1"/>
  <c r="D83" i="1"/>
  <c r="C83" i="1"/>
  <c r="CF82" i="1"/>
  <c r="CG82" i="1" s="1"/>
  <c r="BL82" i="1"/>
  <c r="BD82" i="1"/>
  <c r="AO82" i="1"/>
  <c r="D82" i="1"/>
  <c r="C82" i="1"/>
  <c r="CF81" i="1"/>
  <c r="CG81" i="1" s="1"/>
  <c r="BL81" i="1"/>
  <c r="BD81" i="1"/>
  <c r="AO81" i="1"/>
  <c r="D81" i="1"/>
  <c r="C81" i="1"/>
  <c r="CF80" i="1"/>
  <c r="CG80" i="1" s="1"/>
  <c r="BL80" i="1"/>
  <c r="BD80" i="1"/>
  <c r="AO80" i="1"/>
  <c r="D80" i="1"/>
  <c r="C80" i="1"/>
  <c r="CF79" i="1"/>
  <c r="CG79" i="1" s="1"/>
  <c r="BL79" i="1"/>
  <c r="BD79" i="1"/>
  <c r="AO79" i="1"/>
  <c r="D79" i="1"/>
  <c r="C79" i="1"/>
  <c r="CF78" i="1"/>
  <c r="CG78" i="1" s="1"/>
  <c r="BL78" i="1"/>
  <c r="BD78" i="1"/>
  <c r="AO78" i="1"/>
  <c r="D78" i="1"/>
  <c r="C78" i="1"/>
  <c r="CF77" i="1"/>
  <c r="CG77" i="1" s="1"/>
  <c r="BL77" i="1"/>
  <c r="BD77" i="1"/>
  <c r="AO77" i="1"/>
  <c r="D77" i="1"/>
  <c r="C77" i="1"/>
  <c r="CF76" i="1"/>
  <c r="CG76" i="1" s="1"/>
  <c r="BL76" i="1"/>
  <c r="BD76" i="1"/>
  <c r="AO76" i="1"/>
  <c r="D76" i="1"/>
  <c r="C76" i="1"/>
  <c r="CF75" i="1"/>
  <c r="CG75" i="1" s="1"/>
  <c r="BL75" i="1"/>
  <c r="BD75" i="1"/>
  <c r="AO75" i="1"/>
  <c r="D75" i="1"/>
  <c r="C75" i="1"/>
  <c r="CF74" i="1"/>
  <c r="CG74" i="1" s="1"/>
  <c r="BL74" i="1"/>
  <c r="BD74" i="1"/>
  <c r="AO74" i="1"/>
  <c r="D74" i="1"/>
  <c r="C74" i="1"/>
  <c r="CF73" i="1"/>
  <c r="CG73" i="1" s="1"/>
  <c r="BL73" i="1"/>
  <c r="BD73" i="1"/>
  <c r="AO73" i="1"/>
  <c r="D73" i="1"/>
  <c r="C73" i="1"/>
  <c r="CF72" i="1"/>
  <c r="CG72" i="1" s="1"/>
  <c r="BL72" i="1"/>
  <c r="BD72" i="1"/>
  <c r="AO72" i="1"/>
  <c r="D72" i="1"/>
  <c r="C72" i="1"/>
  <c r="CF71" i="1"/>
  <c r="CG71" i="1" s="1"/>
  <c r="BL71" i="1"/>
  <c r="BD71" i="1"/>
  <c r="AO71" i="1"/>
  <c r="D71" i="1"/>
  <c r="C71" i="1"/>
  <c r="CF70" i="1"/>
  <c r="CG70" i="1" s="1"/>
  <c r="BL70" i="1"/>
  <c r="BD70" i="1"/>
  <c r="AO70" i="1"/>
  <c r="D70" i="1"/>
  <c r="C70" i="1"/>
  <c r="CF69" i="1"/>
  <c r="CG69" i="1" s="1"/>
  <c r="BL69" i="1"/>
  <c r="BD69" i="1"/>
  <c r="AO69" i="1"/>
  <c r="D69" i="1"/>
  <c r="C69" i="1"/>
  <c r="CF68" i="1"/>
  <c r="CG68" i="1" s="1"/>
  <c r="BL68" i="1"/>
  <c r="BD68" i="1"/>
  <c r="AO68" i="1"/>
  <c r="D68" i="1"/>
  <c r="C68" i="1"/>
  <c r="CF67" i="1"/>
  <c r="CG67" i="1" s="1"/>
  <c r="BL67" i="1"/>
  <c r="BD67" i="1"/>
  <c r="AO67" i="1"/>
  <c r="D67" i="1"/>
  <c r="C67" i="1"/>
  <c r="CF66" i="1"/>
  <c r="CG66" i="1" s="1"/>
  <c r="BL66" i="1"/>
  <c r="BD66" i="1"/>
  <c r="AO66" i="1"/>
  <c r="D66" i="1"/>
  <c r="C66" i="1"/>
  <c r="CF65" i="1"/>
  <c r="CG65" i="1" s="1"/>
  <c r="BL65" i="1"/>
  <c r="BD65" i="1"/>
  <c r="AO65" i="1"/>
  <c r="D65" i="1"/>
  <c r="C65" i="1"/>
  <c r="CF64" i="1"/>
  <c r="CG64" i="1" s="1"/>
  <c r="BL64" i="1"/>
  <c r="BD64" i="1"/>
  <c r="AO64" i="1"/>
  <c r="D64" i="1"/>
  <c r="C64" i="1"/>
  <c r="CF63" i="1"/>
  <c r="CG63" i="1" s="1"/>
  <c r="BL63" i="1"/>
  <c r="BD63" i="1"/>
  <c r="AO63" i="1"/>
  <c r="D63" i="1"/>
  <c r="C63" i="1"/>
  <c r="CF62" i="1"/>
  <c r="CG62" i="1" s="1"/>
  <c r="BL62" i="1"/>
  <c r="BD62" i="1"/>
  <c r="AO62" i="1"/>
  <c r="D62" i="1"/>
  <c r="C62" i="1"/>
  <c r="CF61" i="1"/>
  <c r="CG61" i="1" s="1"/>
  <c r="BL61" i="1"/>
  <c r="BD61" i="1"/>
  <c r="AO61" i="1"/>
  <c r="D61" i="1"/>
  <c r="C61" i="1"/>
  <c r="CF60" i="1"/>
  <c r="CG60" i="1" s="1"/>
  <c r="BL60" i="1"/>
  <c r="BD60" i="1"/>
  <c r="AO60" i="1"/>
  <c r="D60" i="1"/>
  <c r="C60" i="1"/>
  <c r="CF59" i="1"/>
  <c r="CG59" i="1" s="1"/>
  <c r="BL59" i="1"/>
  <c r="BD59" i="1"/>
  <c r="AO59" i="1"/>
  <c r="D59" i="1"/>
  <c r="C59" i="1"/>
  <c r="CF58" i="1"/>
  <c r="CG58" i="1" s="1"/>
  <c r="BL58" i="1"/>
  <c r="BD58" i="1"/>
  <c r="AO58" i="1"/>
  <c r="D58" i="1"/>
  <c r="C58" i="1"/>
  <c r="CF57" i="1"/>
  <c r="CG57" i="1" s="1"/>
  <c r="BL57" i="1"/>
  <c r="BD57" i="1"/>
  <c r="AO57" i="1"/>
  <c r="D57" i="1"/>
  <c r="C57" i="1"/>
  <c r="CF56" i="1"/>
  <c r="CG56" i="1" s="1"/>
  <c r="BL56" i="1"/>
  <c r="BD56" i="1"/>
  <c r="AO56" i="1"/>
  <c r="D56" i="1"/>
  <c r="C56" i="1"/>
  <c r="CF55" i="1"/>
  <c r="CG55" i="1" s="1"/>
  <c r="BL55" i="1"/>
  <c r="BD55" i="1"/>
  <c r="AO55" i="1"/>
  <c r="D55" i="1"/>
  <c r="C55" i="1"/>
  <c r="CF54" i="1"/>
  <c r="CG54" i="1" s="1"/>
  <c r="BL54" i="1"/>
  <c r="BD54" i="1"/>
  <c r="AO54" i="1"/>
  <c r="D54" i="1"/>
  <c r="C54" i="1"/>
  <c r="CF53" i="1"/>
  <c r="CG53" i="1" s="1"/>
  <c r="BL53" i="1"/>
  <c r="BD53" i="1"/>
  <c r="AO53" i="1"/>
  <c r="D53" i="1"/>
  <c r="C53" i="1"/>
  <c r="CF52" i="1"/>
  <c r="CG52" i="1" s="1"/>
  <c r="BL52" i="1"/>
  <c r="BD52" i="1"/>
  <c r="AO52" i="1"/>
  <c r="D52" i="1"/>
  <c r="C52" i="1"/>
  <c r="CF51" i="1"/>
  <c r="CG51" i="1" s="1"/>
  <c r="BL51" i="1"/>
  <c r="BD51" i="1"/>
  <c r="AO51" i="1"/>
  <c r="D51" i="1"/>
  <c r="C51" i="1"/>
  <c r="CF50" i="1"/>
  <c r="CG50" i="1" s="1"/>
  <c r="BL50" i="1"/>
  <c r="BD50" i="1"/>
  <c r="AO50" i="1"/>
  <c r="D50" i="1"/>
  <c r="C50" i="1"/>
  <c r="CF49" i="1"/>
  <c r="CG49" i="1" s="1"/>
  <c r="BL49" i="1"/>
  <c r="BD49" i="1"/>
  <c r="AO49" i="1"/>
  <c r="D49" i="1"/>
  <c r="C49" i="1"/>
  <c r="CF48" i="1"/>
  <c r="CG48" i="1" s="1"/>
  <c r="BL48" i="1"/>
  <c r="BD48" i="1"/>
  <c r="AO48" i="1"/>
  <c r="D48" i="1"/>
  <c r="C48" i="1"/>
  <c r="CF47" i="1"/>
  <c r="CG47" i="1" s="1"/>
  <c r="BL47" i="1"/>
  <c r="BD47" i="1"/>
  <c r="AO47" i="1"/>
  <c r="D47" i="1"/>
  <c r="C47" i="1"/>
  <c r="CF46" i="1"/>
  <c r="CG46" i="1" s="1"/>
  <c r="BL46" i="1"/>
  <c r="BD46" i="1"/>
  <c r="AO46" i="1"/>
  <c r="D46" i="1"/>
  <c r="C46" i="1"/>
  <c r="CF45" i="1"/>
  <c r="CG45" i="1" s="1"/>
  <c r="BL45" i="1"/>
  <c r="BD45" i="1"/>
  <c r="AO45" i="1"/>
  <c r="D45" i="1"/>
  <c r="C45" i="1"/>
  <c r="CF44" i="1"/>
  <c r="CG44" i="1" s="1"/>
  <c r="BL44" i="1"/>
  <c r="BD44" i="1"/>
  <c r="AO44" i="1"/>
  <c r="D44" i="1"/>
  <c r="C44" i="1"/>
  <c r="CF43" i="1"/>
  <c r="CG43" i="1" s="1"/>
  <c r="BL43" i="1"/>
  <c r="BD43" i="1"/>
  <c r="AO43" i="1"/>
  <c r="D43" i="1"/>
  <c r="C43" i="1"/>
  <c r="CF42" i="1"/>
  <c r="CG42" i="1" s="1"/>
  <c r="BL42" i="1"/>
  <c r="BD42" i="1"/>
  <c r="AO42" i="1"/>
  <c r="D42" i="1"/>
  <c r="C42" i="1"/>
  <c r="CF41" i="1"/>
  <c r="CG41" i="1" s="1"/>
  <c r="BL41" i="1"/>
  <c r="BD41" i="1"/>
  <c r="AO41" i="1"/>
  <c r="D41" i="1"/>
  <c r="C41" i="1"/>
  <c r="CF40" i="1"/>
  <c r="CG40" i="1" s="1"/>
  <c r="BL40" i="1"/>
  <c r="BD40" i="1"/>
  <c r="AO40" i="1"/>
  <c r="D40" i="1"/>
  <c r="C40" i="1"/>
  <c r="CF39" i="1"/>
  <c r="CG39" i="1" s="1"/>
  <c r="BL39" i="1"/>
  <c r="BD39" i="1"/>
  <c r="AO39" i="1"/>
  <c r="D39" i="1"/>
  <c r="C39" i="1"/>
  <c r="CF38" i="1"/>
  <c r="CG38" i="1" s="1"/>
  <c r="BL38" i="1"/>
  <c r="BD38" i="1"/>
  <c r="AO38" i="1"/>
  <c r="D38" i="1"/>
  <c r="C38" i="1"/>
  <c r="CF37" i="1"/>
  <c r="CG37" i="1" s="1"/>
  <c r="BL37" i="1"/>
  <c r="BD37" i="1"/>
  <c r="AO37" i="1"/>
  <c r="D37" i="1"/>
  <c r="C37" i="1"/>
  <c r="CF36" i="1"/>
  <c r="CG36" i="1" s="1"/>
  <c r="BL36" i="1"/>
  <c r="BD36" i="1"/>
  <c r="AO36" i="1"/>
  <c r="D36" i="1"/>
  <c r="C36" i="1"/>
  <c r="CF35" i="1"/>
  <c r="CG35" i="1" s="1"/>
  <c r="BL35" i="1"/>
  <c r="BD35" i="1"/>
  <c r="AO35" i="1"/>
  <c r="D35" i="1"/>
  <c r="C35" i="1"/>
  <c r="CF34" i="1"/>
  <c r="CG34" i="1" s="1"/>
  <c r="BL34" i="1"/>
  <c r="BD34" i="1"/>
  <c r="AO34" i="1"/>
  <c r="D34" i="1"/>
  <c r="C34" i="1"/>
  <c r="CF33" i="1"/>
  <c r="CG33" i="1" s="1"/>
  <c r="BL33" i="1"/>
  <c r="BD33" i="1"/>
  <c r="AO33" i="1"/>
  <c r="D33" i="1"/>
  <c r="C33" i="1"/>
  <c r="CF32" i="1"/>
  <c r="CG32" i="1" s="1"/>
  <c r="BL32" i="1"/>
  <c r="BD32" i="1"/>
  <c r="AO32" i="1"/>
  <c r="D32" i="1"/>
  <c r="C32" i="1"/>
  <c r="CF31" i="1"/>
  <c r="CG31" i="1" s="1"/>
  <c r="BL31" i="1"/>
  <c r="BD31" i="1"/>
  <c r="AO31" i="1"/>
  <c r="D31" i="1"/>
  <c r="C31" i="1"/>
  <c r="CF30" i="1"/>
  <c r="CG30" i="1" s="1"/>
  <c r="BL30" i="1"/>
  <c r="BD30" i="1"/>
  <c r="AO30" i="1"/>
  <c r="D30" i="1"/>
  <c r="C30" i="1"/>
  <c r="CF29" i="1"/>
  <c r="CG29" i="1" s="1"/>
  <c r="BL29" i="1"/>
  <c r="BD29" i="1"/>
  <c r="AO29" i="1"/>
  <c r="D29" i="1"/>
  <c r="C29" i="1"/>
  <c r="CF28" i="1"/>
  <c r="CG28" i="1" s="1"/>
  <c r="BL28" i="1"/>
  <c r="BD28" i="1"/>
  <c r="AO28" i="1"/>
  <c r="D28" i="1"/>
  <c r="C28" i="1"/>
  <c r="CF27" i="1"/>
  <c r="CG27" i="1" s="1"/>
  <c r="BL27" i="1"/>
  <c r="BD27" i="1"/>
  <c r="AO27" i="1"/>
  <c r="D27" i="1"/>
  <c r="C27" i="1"/>
  <c r="CF26" i="1"/>
  <c r="CG26" i="1" s="1"/>
  <c r="BL26" i="1"/>
  <c r="BD26" i="1"/>
  <c r="AO26" i="1"/>
  <c r="D26" i="1"/>
  <c r="C26" i="1"/>
  <c r="CF25" i="1"/>
  <c r="CG25" i="1" s="1"/>
  <c r="BL25" i="1"/>
  <c r="BD25" i="1"/>
  <c r="AO25" i="1"/>
  <c r="D25" i="1"/>
  <c r="C25" i="1"/>
  <c r="CF24" i="1"/>
  <c r="CG24" i="1" s="1"/>
  <c r="BL24" i="1"/>
  <c r="BD24" i="1"/>
  <c r="AO24" i="1"/>
  <c r="D24" i="1"/>
  <c r="C24" i="1"/>
  <c r="CF23" i="1"/>
  <c r="CG23" i="1" s="1"/>
  <c r="BL23" i="1"/>
  <c r="BD23" i="1"/>
  <c r="AO23" i="1"/>
  <c r="D23" i="1"/>
  <c r="C23" i="1"/>
  <c r="CF22" i="1"/>
  <c r="CG22" i="1" s="1"/>
  <c r="BL22" i="1"/>
  <c r="BD22" i="1"/>
  <c r="AO22" i="1"/>
  <c r="D22" i="1"/>
  <c r="C22" i="1"/>
  <c r="CF21" i="1"/>
  <c r="CG21" i="1" s="1"/>
  <c r="BL21" i="1"/>
  <c r="BD21" i="1"/>
  <c r="AO21" i="1"/>
  <c r="D21" i="1"/>
  <c r="C21" i="1"/>
  <c r="CF20" i="1"/>
  <c r="CG20" i="1" s="1"/>
  <c r="BL20" i="1"/>
  <c r="BD20" i="1"/>
  <c r="AO20" i="1"/>
  <c r="D20" i="1"/>
  <c r="C20" i="1"/>
  <c r="CF19" i="1"/>
  <c r="CG19" i="1" s="1"/>
  <c r="BL19" i="1"/>
  <c r="BD19" i="1"/>
  <c r="AO19" i="1"/>
  <c r="D19" i="1"/>
  <c r="C19" i="1"/>
  <c r="CF18" i="1"/>
  <c r="CG18" i="1" s="1"/>
  <c r="BL18" i="1"/>
  <c r="BD18" i="1"/>
  <c r="AO18" i="1"/>
  <c r="D18" i="1"/>
  <c r="C18" i="1"/>
  <c r="CF17" i="1"/>
  <c r="CG17" i="1" s="1"/>
  <c r="BL17" i="1"/>
  <c r="BD17" i="1"/>
  <c r="AO17" i="1"/>
  <c r="D17" i="1"/>
  <c r="C17" i="1"/>
  <c r="CF16" i="1"/>
  <c r="CG16" i="1" s="1"/>
  <c r="BL16" i="1"/>
  <c r="BD16" i="1"/>
  <c r="AO16" i="1"/>
  <c r="D16" i="1"/>
  <c r="C16" i="1"/>
  <c r="CF15" i="1"/>
  <c r="CG15" i="1" s="1"/>
  <c r="BL15" i="1"/>
  <c r="BD15" i="1"/>
  <c r="AO15" i="1"/>
  <c r="D15" i="1"/>
  <c r="C15" i="1"/>
  <c r="CF14" i="1"/>
  <c r="CG14" i="1" s="1"/>
  <c r="BL14" i="1"/>
  <c r="BD14" i="1"/>
  <c r="AO14" i="1"/>
  <c r="D14" i="1"/>
  <c r="C14" i="1"/>
  <c r="CF13" i="1"/>
  <c r="CG13" i="1" s="1"/>
  <c r="BL13" i="1"/>
  <c r="BD13" i="1"/>
  <c r="AO13" i="1"/>
  <c r="D13" i="1"/>
  <c r="C13" i="1"/>
  <c r="CF12" i="1"/>
  <c r="CG12" i="1" s="1"/>
  <c r="BL12" i="1"/>
  <c r="BD12" i="1"/>
  <c r="AO12" i="1"/>
  <c r="D12" i="1"/>
  <c r="C12" i="1"/>
  <c r="CF11" i="1"/>
  <c r="CG11" i="1" s="1"/>
  <c r="BL11" i="1"/>
  <c r="BD11" i="1"/>
  <c r="AO11" i="1"/>
  <c r="D11" i="1"/>
  <c r="C11" i="1"/>
  <c r="CF10" i="1"/>
  <c r="CG10" i="1" s="1"/>
  <c r="BL10" i="1"/>
  <c r="BD10" i="1"/>
  <c r="AO10" i="1"/>
  <c r="D10" i="1"/>
  <c r="C10" i="1"/>
  <c r="CF9" i="1"/>
  <c r="CG9" i="1" s="1"/>
  <c r="BL9" i="1"/>
  <c r="BD9" i="1"/>
  <c r="AO9" i="1"/>
  <c r="D9" i="1"/>
  <c r="C9" i="1"/>
  <c r="CF8" i="1"/>
  <c r="CG8" i="1" s="1"/>
  <c r="BL8" i="1"/>
  <c r="BD8" i="1"/>
  <c r="AO8" i="1"/>
  <c r="D8" i="1"/>
  <c r="C8" i="1"/>
  <c r="CF7" i="1"/>
  <c r="CG7" i="1" s="1"/>
  <c r="BL7" i="1"/>
  <c r="BD7" i="1"/>
  <c r="AO7" i="1"/>
  <c r="D7" i="1"/>
  <c r="C7" i="1"/>
  <c r="CF6" i="1"/>
  <c r="CG6" i="1" s="1"/>
  <c r="BL6" i="1"/>
  <c r="BD6" i="1"/>
  <c r="AO6" i="1"/>
  <c r="D6" i="1"/>
  <c r="C6" i="1"/>
  <c r="CF5" i="1"/>
  <c r="CG5" i="1" s="1"/>
  <c r="BL5" i="1"/>
  <c r="BD5" i="1"/>
  <c r="AO5" i="1"/>
  <c r="D5" i="1"/>
  <c r="C5" i="1"/>
  <c r="CF4" i="1"/>
  <c r="CG4" i="1" s="1"/>
  <c r="BL4" i="1"/>
  <c r="BD4" i="1"/>
  <c r="AO4" i="1"/>
  <c r="D4" i="1"/>
  <c r="C4" i="1"/>
  <c r="CF3" i="1"/>
  <c r="CG3" i="1" s="1"/>
  <c r="BL3" i="1"/>
  <c r="BD3" i="1"/>
  <c r="AO3" i="1"/>
  <c r="D3" i="1"/>
  <c r="C3" i="1"/>
  <c r="J213" i="1" l="1"/>
  <c r="M213" i="1" s="1"/>
  <c r="L214" i="1"/>
  <c r="CQ214" i="1"/>
  <c r="AY213" i="1"/>
  <c r="BB213" i="1" s="1"/>
  <c r="AZ214" i="1"/>
  <c r="AX213" i="1"/>
  <c r="AX214" i="1"/>
  <c r="BM214" i="1"/>
  <c r="I213" i="1"/>
  <c r="I214" i="1"/>
  <c r="BU213" i="1"/>
  <c r="BU214" i="1"/>
  <c r="P213" i="1"/>
  <c r="P214" i="1"/>
  <c r="AR213" i="1"/>
  <c r="AR214" i="1"/>
  <c r="BM213" i="1"/>
  <c r="CI213" i="1"/>
  <c r="CI214" i="1"/>
  <c r="AK213" i="1"/>
  <c r="AK214" i="1"/>
  <c r="AN213" i="1"/>
  <c r="AN214" i="1"/>
  <c r="BN213" i="1"/>
  <c r="BS213" i="1" s="1"/>
  <c r="BO214" i="1"/>
  <c r="AS213" i="1"/>
  <c r="AV213" i="1" s="1"/>
  <c r="AT214" i="1"/>
  <c r="BV213" i="1"/>
  <c r="CC213" i="1" s="1"/>
  <c r="BW214" i="1"/>
  <c r="R202" i="1"/>
  <c r="Q213" i="1"/>
  <c r="T213" i="1" s="1"/>
  <c r="AK212" i="1"/>
  <c r="AN212" i="1"/>
  <c r="BM212" i="1"/>
  <c r="I212" i="1"/>
  <c r="P212" i="1"/>
  <c r="AX212" i="1"/>
  <c r="BU212" i="1"/>
  <c r="AR212" i="1"/>
  <c r="CI212" i="1"/>
  <c r="CA203" i="1"/>
  <c r="BH203" i="1"/>
  <c r="BG202" i="1"/>
  <c r="P8" i="1"/>
  <c r="P16" i="1"/>
  <c r="P20" i="1"/>
  <c r="P28" i="1"/>
  <c r="AX4" i="1"/>
  <c r="P4" i="1"/>
  <c r="P40" i="1"/>
  <c r="P36" i="1"/>
  <c r="AX6" i="1"/>
  <c r="P6" i="1"/>
  <c r="AX10" i="1"/>
  <c r="P10" i="1"/>
  <c r="P14" i="1"/>
  <c r="P18" i="1"/>
  <c r="P22" i="1"/>
  <c r="P26" i="1"/>
  <c r="P30" i="1"/>
  <c r="P34" i="1"/>
  <c r="P38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P170" i="1"/>
  <c r="P174" i="1"/>
  <c r="P178" i="1"/>
  <c r="P182" i="1"/>
  <c r="P186" i="1"/>
  <c r="P190" i="1"/>
  <c r="P194" i="1"/>
  <c r="P198" i="1"/>
  <c r="S198" i="1" s="1"/>
  <c r="P5" i="1"/>
  <c r="P9" i="1"/>
  <c r="P13" i="1"/>
  <c r="P17" i="1"/>
  <c r="P21" i="1"/>
  <c r="P25" i="1"/>
  <c r="P29" i="1"/>
  <c r="P33" i="1"/>
  <c r="P37" i="1"/>
  <c r="P41" i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P145" i="1"/>
  <c r="P149" i="1"/>
  <c r="P153" i="1"/>
  <c r="P157" i="1"/>
  <c r="P161" i="1"/>
  <c r="P165" i="1"/>
  <c r="P169" i="1"/>
  <c r="P173" i="1"/>
  <c r="P177" i="1"/>
  <c r="P181" i="1"/>
  <c r="P185" i="1"/>
  <c r="P189" i="1"/>
  <c r="P193" i="1"/>
  <c r="P197" i="1"/>
  <c r="P201" i="1"/>
  <c r="P12" i="1"/>
  <c r="S16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P144" i="1"/>
  <c r="P148" i="1"/>
  <c r="P152" i="1"/>
  <c r="P156" i="1"/>
  <c r="P160" i="1"/>
  <c r="P164" i="1"/>
  <c r="P168" i="1"/>
  <c r="P172" i="1"/>
  <c r="P176" i="1"/>
  <c r="P180" i="1"/>
  <c r="P184" i="1"/>
  <c r="P188" i="1"/>
  <c r="P192" i="1"/>
  <c r="P196" i="1"/>
  <c r="P200" i="1"/>
  <c r="P32" i="1"/>
  <c r="P24" i="1"/>
  <c r="S24" i="1" s="1"/>
  <c r="P3" i="1"/>
  <c r="P209" i="1"/>
  <c r="P208" i="1"/>
  <c r="P210" i="1"/>
  <c r="P211" i="1"/>
  <c r="P207" i="1"/>
  <c r="P7" i="1"/>
  <c r="P11" i="1"/>
  <c r="P15" i="1"/>
  <c r="P19" i="1"/>
  <c r="S19" i="1" s="1"/>
  <c r="P23" i="1"/>
  <c r="P27" i="1"/>
  <c r="P31" i="1"/>
  <c r="P35" i="1"/>
  <c r="P39" i="1"/>
  <c r="P43" i="1"/>
  <c r="P47" i="1"/>
  <c r="P51" i="1"/>
  <c r="S51" i="1" s="1"/>
  <c r="P55" i="1"/>
  <c r="P59" i="1"/>
  <c r="P63" i="1"/>
  <c r="P67" i="1"/>
  <c r="P71" i="1"/>
  <c r="P75" i="1"/>
  <c r="P79" i="1"/>
  <c r="P83" i="1"/>
  <c r="S83" i="1" s="1"/>
  <c r="P87" i="1"/>
  <c r="P91" i="1"/>
  <c r="P95" i="1"/>
  <c r="P99" i="1"/>
  <c r="P103" i="1"/>
  <c r="P107" i="1"/>
  <c r="P111" i="1"/>
  <c r="P115" i="1"/>
  <c r="S115" i="1" s="1"/>
  <c r="P119" i="1"/>
  <c r="P123" i="1"/>
  <c r="P127" i="1"/>
  <c r="P131" i="1"/>
  <c r="P135" i="1"/>
  <c r="P139" i="1"/>
  <c r="P143" i="1"/>
  <c r="P147" i="1"/>
  <c r="S147" i="1" s="1"/>
  <c r="P151" i="1"/>
  <c r="P155" i="1"/>
  <c r="P159" i="1"/>
  <c r="P163" i="1"/>
  <c r="P167" i="1"/>
  <c r="P171" i="1"/>
  <c r="P175" i="1"/>
  <c r="P179" i="1"/>
  <c r="S179" i="1" s="1"/>
  <c r="P183" i="1"/>
  <c r="P187" i="1"/>
  <c r="P191" i="1"/>
  <c r="P195" i="1"/>
  <c r="P199" i="1"/>
  <c r="P203" i="1"/>
  <c r="P204" i="1"/>
  <c r="P205" i="1"/>
  <c r="P206" i="1"/>
  <c r="S206" i="1" s="1"/>
  <c r="P202" i="1"/>
  <c r="AX38" i="1"/>
  <c r="AX70" i="1"/>
  <c r="AX106" i="1"/>
  <c r="AX138" i="1"/>
  <c r="AX154" i="1"/>
  <c r="AX182" i="1"/>
  <c r="AX26" i="1"/>
  <c r="AX54" i="1"/>
  <c r="AX82" i="1"/>
  <c r="AX118" i="1"/>
  <c r="BA118" i="1" s="1"/>
  <c r="AX134" i="1"/>
  <c r="AX150" i="1"/>
  <c r="BA150" i="1" s="1"/>
  <c r="AX162" i="1"/>
  <c r="AX198" i="1"/>
  <c r="AX34" i="1"/>
  <c r="AX50" i="1"/>
  <c r="AX62" i="1"/>
  <c r="AX90" i="1"/>
  <c r="AX130" i="1"/>
  <c r="AX166" i="1"/>
  <c r="AX174" i="1"/>
  <c r="BA174" i="1" s="1"/>
  <c r="AX5" i="1"/>
  <c r="AX9" i="1"/>
  <c r="AX13" i="1"/>
  <c r="AX17" i="1"/>
  <c r="AX21" i="1"/>
  <c r="AX25" i="1"/>
  <c r="AX29" i="1"/>
  <c r="AX33" i="1"/>
  <c r="AX37" i="1"/>
  <c r="BA37" i="1" s="1"/>
  <c r="AX41" i="1"/>
  <c r="AX45" i="1"/>
  <c r="AX49" i="1"/>
  <c r="AX53" i="1"/>
  <c r="AX57" i="1"/>
  <c r="AX61" i="1"/>
  <c r="AX65" i="1"/>
  <c r="AX69" i="1"/>
  <c r="BA69" i="1" s="1"/>
  <c r="AX73" i="1"/>
  <c r="AX77" i="1"/>
  <c r="AX81" i="1"/>
  <c r="AX85" i="1"/>
  <c r="AX89" i="1"/>
  <c r="AX93" i="1"/>
  <c r="AX97" i="1"/>
  <c r="AX101" i="1"/>
  <c r="BA101" i="1" s="1"/>
  <c r="AX105" i="1"/>
  <c r="AX109" i="1"/>
  <c r="AX113" i="1"/>
  <c r="AX117" i="1"/>
  <c r="AX121" i="1"/>
  <c r="AX125" i="1"/>
  <c r="AX129" i="1"/>
  <c r="AX133" i="1"/>
  <c r="BA133" i="1" s="1"/>
  <c r="AX137" i="1"/>
  <c r="AX141" i="1"/>
  <c r="AX145" i="1"/>
  <c r="AX149" i="1"/>
  <c r="AX153" i="1"/>
  <c r="AX157" i="1"/>
  <c r="AX161" i="1"/>
  <c r="AX165" i="1"/>
  <c r="BA165" i="1" s="1"/>
  <c r="AX169" i="1"/>
  <c r="AX173" i="1"/>
  <c r="AX177" i="1"/>
  <c r="AX181" i="1"/>
  <c r="AX185" i="1"/>
  <c r="AX189" i="1"/>
  <c r="AX193" i="1"/>
  <c r="AX197" i="1"/>
  <c r="AX201" i="1"/>
  <c r="AX18" i="1"/>
  <c r="AX42" i="1"/>
  <c r="AX86" i="1"/>
  <c r="AX114" i="1"/>
  <c r="AX190" i="1"/>
  <c r="AX22" i="1"/>
  <c r="AX66" i="1"/>
  <c r="BA66" i="1" s="1"/>
  <c r="AX98" i="1"/>
  <c r="AX170" i="1"/>
  <c r="AX16" i="1"/>
  <c r="BA16" i="1" s="1"/>
  <c r="AX20" i="1"/>
  <c r="AX24" i="1"/>
  <c r="AX28" i="1"/>
  <c r="AX32" i="1"/>
  <c r="AX36" i="1"/>
  <c r="AX40" i="1"/>
  <c r="AX44" i="1"/>
  <c r="AX48" i="1"/>
  <c r="AX52" i="1"/>
  <c r="AX56" i="1"/>
  <c r="AX60" i="1"/>
  <c r="AX64" i="1"/>
  <c r="AX68" i="1"/>
  <c r="AX72" i="1"/>
  <c r="AX76" i="1"/>
  <c r="AX80" i="1"/>
  <c r="AX84" i="1"/>
  <c r="AX88" i="1"/>
  <c r="AX92" i="1"/>
  <c r="AX96" i="1"/>
  <c r="AX100" i="1"/>
  <c r="AX104" i="1"/>
  <c r="AX108" i="1"/>
  <c r="AX112" i="1"/>
  <c r="AX116" i="1"/>
  <c r="AX120" i="1"/>
  <c r="AX124" i="1"/>
  <c r="AX128" i="1"/>
  <c r="AX132" i="1"/>
  <c r="AX136" i="1"/>
  <c r="AX140" i="1"/>
  <c r="AX144" i="1"/>
  <c r="AX148" i="1"/>
  <c r="AX152" i="1"/>
  <c r="AX156" i="1"/>
  <c r="AX160" i="1"/>
  <c r="AX164" i="1"/>
  <c r="AX168" i="1"/>
  <c r="AX172" i="1"/>
  <c r="AX176" i="1"/>
  <c r="AX180" i="1"/>
  <c r="AX184" i="1"/>
  <c r="AX188" i="1"/>
  <c r="AX192" i="1"/>
  <c r="AX196" i="1"/>
  <c r="AX200" i="1"/>
  <c r="AX30" i="1"/>
  <c r="BA30" i="1" s="1"/>
  <c r="AX74" i="1"/>
  <c r="BA74" i="1" s="1"/>
  <c r="AX94" i="1"/>
  <c r="BA94" i="1" s="1"/>
  <c r="AX110" i="1"/>
  <c r="AX126" i="1"/>
  <c r="BA126" i="1" s="1"/>
  <c r="AX146" i="1"/>
  <c r="BA146" i="1" s="1"/>
  <c r="AX158" i="1"/>
  <c r="AX178" i="1"/>
  <c r="AX194" i="1"/>
  <c r="AX8" i="1"/>
  <c r="AX14" i="1"/>
  <c r="AX46" i="1"/>
  <c r="AX58" i="1"/>
  <c r="BA58" i="1" s="1"/>
  <c r="AX78" i="1"/>
  <c r="AX102" i="1"/>
  <c r="AX122" i="1"/>
  <c r="BA122" i="1" s="1"/>
  <c r="AX142" i="1"/>
  <c r="BA142" i="1" s="1"/>
  <c r="AX186" i="1"/>
  <c r="AX12" i="1"/>
  <c r="AX3" i="1"/>
  <c r="AX208" i="1"/>
  <c r="AX209" i="1"/>
  <c r="AX210" i="1"/>
  <c r="BA210" i="1" s="1"/>
  <c r="AX211" i="1"/>
  <c r="AR211" i="1"/>
  <c r="I208" i="1"/>
  <c r="AR208" i="1"/>
  <c r="AR209" i="1"/>
  <c r="BU210" i="1"/>
  <c r="BU211" i="1"/>
  <c r="AR210" i="1"/>
  <c r="I209" i="1"/>
  <c r="BM211" i="1"/>
  <c r="BM208" i="1"/>
  <c r="BM210" i="1"/>
  <c r="I211" i="1"/>
  <c r="BM209" i="1"/>
  <c r="I210" i="1"/>
  <c r="BU208" i="1"/>
  <c r="CB208" i="1" s="1"/>
  <c r="BU209" i="1"/>
  <c r="AX207" i="1"/>
  <c r="CI208" i="1"/>
  <c r="CI209" i="1"/>
  <c r="CI211" i="1"/>
  <c r="CI210" i="1"/>
  <c r="AK209" i="1"/>
  <c r="AN209" i="1"/>
  <c r="AN211" i="1"/>
  <c r="AK208" i="1"/>
  <c r="AN210" i="1"/>
  <c r="AN208" i="1"/>
  <c r="AK210" i="1"/>
  <c r="AK211" i="1"/>
  <c r="AX7" i="1"/>
  <c r="AX11" i="1"/>
  <c r="AX15" i="1"/>
  <c r="BA15" i="1" s="1"/>
  <c r="AX19" i="1"/>
  <c r="AX23" i="1"/>
  <c r="AX27" i="1"/>
  <c r="AX31" i="1"/>
  <c r="AX35" i="1"/>
  <c r="AX39" i="1"/>
  <c r="AX43" i="1"/>
  <c r="AX47" i="1"/>
  <c r="AX51" i="1"/>
  <c r="AX55" i="1"/>
  <c r="AX59" i="1"/>
  <c r="AX63" i="1"/>
  <c r="AX67" i="1"/>
  <c r="AX71" i="1"/>
  <c r="AX75" i="1"/>
  <c r="AX79" i="1"/>
  <c r="AX83" i="1"/>
  <c r="AX87" i="1"/>
  <c r="AX91" i="1"/>
  <c r="AX95" i="1"/>
  <c r="AX99" i="1"/>
  <c r="AX103" i="1"/>
  <c r="AX107" i="1"/>
  <c r="AX111" i="1"/>
  <c r="AX115" i="1"/>
  <c r="AX119" i="1"/>
  <c r="AX123" i="1"/>
  <c r="AX127" i="1"/>
  <c r="AX131" i="1"/>
  <c r="AX135" i="1"/>
  <c r="AX139" i="1"/>
  <c r="AX143" i="1"/>
  <c r="AX147" i="1"/>
  <c r="AX151" i="1"/>
  <c r="AX155" i="1"/>
  <c r="AX159" i="1"/>
  <c r="AX163" i="1"/>
  <c r="AX167" i="1"/>
  <c r="AX171" i="1"/>
  <c r="AX175" i="1"/>
  <c r="AX179" i="1"/>
  <c r="AX183" i="1"/>
  <c r="AX187" i="1"/>
  <c r="AX191" i="1"/>
  <c r="AX195" i="1"/>
  <c r="AX199" i="1"/>
  <c r="AY202" i="1"/>
  <c r="AY210" i="1"/>
  <c r="BB210" i="1" s="1"/>
  <c r="AX206" i="1"/>
  <c r="BA206" i="1" s="1"/>
  <c r="AZ202" i="1"/>
  <c r="AY203" i="1"/>
  <c r="BB203" i="1" s="1"/>
  <c r="AY211" i="1"/>
  <c r="BB211" i="1" s="1"/>
  <c r="AY209" i="1"/>
  <c r="BB209" i="1" s="1"/>
  <c r="AY204" i="1"/>
  <c r="BB204" i="1" s="1"/>
  <c r="AY212" i="1"/>
  <c r="BB212" i="1" s="1"/>
  <c r="AY205" i="1"/>
  <c r="BB205" i="1" s="1"/>
  <c r="AX202" i="1"/>
  <c r="AY206" i="1"/>
  <c r="BB206" i="1" s="1"/>
  <c r="AX203" i="1"/>
  <c r="AY207" i="1"/>
  <c r="BB207" i="1" s="1"/>
  <c r="AX204" i="1"/>
  <c r="AY208" i="1"/>
  <c r="BB208" i="1" s="1"/>
  <c r="AX205" i="1"/>
  <c r="BN212" i="1"/>
  <c r="BN211" i="1"/>
  <c r="J212" i="1"/>
  <c r="M212" i="1" s="1"/>
  <c r="J211" i="1"/>
  <c r="M211" i="1" s="1"/>
  <c r="J210" i="1"/>
  <c r="M210" i="1" s="1"/>
  <c r="BV212" i="1"/>
  <c r="BV211" i="1"/>
  <c r="Q210" i="1"/>
  <c r="T210" i="1" s="1"/>
  <c r="Q212" i="1"/>
  <c r="T212" i="1" s="1"/>
  <c r="Q211" i="1"/>
  <c r="T211" i="1" s="1"/>
  <c r="AS212" i="1"/>
  <c r="AV212" i="1" s="1"/>
  <c r="AS211" i="1"/>
  <c r="AV211" i="1" s="1"/>
  <c r="BN209" i="1"/>
  <c r="BN210" i="1"/>
  <c r="BV209" i="1"/>
  <c r="CC209" i="1" s="1"/>
  <c r="BV210" i="1"/>
  <c r="AS209" i="1"/>
  <c r="AV209" i="1" s="1"/>
  <c r="AS210" i="1"/>
  <c r="AV210" i="1" s="1"/>
  <c r="J208" i="1"/>
  <c r="M208" i="1" s="1"/>
  <c r="J209" i="1"/>
  <c r="M209" i="1" s="1"/>
  <c r="Q208" i="1"/>
  <c r="T208" i="1" s="1"/>
  <c r="Q209" i="1"/>
  <c r="T209" i="1" s="1"/>
  <c r="BW202" i="1"/>
  <c r="BV208" i="1"/>
  <c r="AT202" i="1"/>
  <c r="AS208" i="1"/>
  <c r="AV208" i="1" s="1"/>
  <c r="BN208" i="1"/>
  <c r="BM207" i="1"/>
  <c r="CI207" i="1"/>
  <c r="BU207" i="1"/>
  <c r="CB207" i="1" s="1"/>
  <c r="I207" i="1"/>
  <c r="AN207" i="1"/>
  <c r="AR207" i="1"/>
  <c r="AK207" i="1"/>
  <c r="AN9" i="1"/>
  <c r="AK9" i="1"/>
  <c r="AN45" i="1"/>
  <c r="AK45" i="1"/>
  <c r="AN53" i="1"/>
  <c r="AK53" i="1"/>
  <c r="AN61" i="1"/>
  <c r="AK61" i="1"/>
  <c r="AN93" i="1"/>
  <c r="AK93" i="1"/>
  <c r="AN101" i="1"/>
  <c r="AK101" i="1"/>
  <c r="AN113" i="1"/>
  <c r="AK113" i="1"/>
  <c r="AN141" i="1"/>
  <c r="AK141" i="1"/>
  <c r="AN149" i="1"/>
  <c r="AK149" i="1"/>
  <c r="AN157" i="1"/>
  <c r="AK157" i="1"/>
  <c r="AN8" i="1"/>
  <c r="AK8" i="1"/>
  <c r="AN12" i="1"/>
  <c r="AK12" i="1"/>
  <c r="AN16" i="1"/>
  <c r="AK16" i="1"/>
  <c r="AN20" i="1"/>
  <c r="AK20" i="1"/>
  <c r="AN24" i="1"/>
  <c r="AK24" i="1"/>
  <c r="AN28" i="1"/>
  <c r="AK28" i="1"/>
  <c r="AN32" i="1"/>
  <c r="AK32" i="1"/>
  <c r="AN36" i="1"/>
  <c r="AK36" i="1"/>
  <c r="AN40" i="1"/>
  <c r="AK40" i="1"/>
  <c r="AN44" i="1"/>
  <c r="AK44" i="1"/>
  <c r="AN48" i="1"/>
  <c r="AK48" i="1"/>
  <c r="AN52" i="1"/>
  <c r="AK52" i="1"/>
  <c r="AN56" i="1"/>
  <c r="AK56" i="1"/>
  <c r="AN60" i="1"/>
  <c r="AK60" i="1"/>
  <c r="AN64" i="1"/>
  <c r="AK64" i="1"/>
  <c r="AN68" i="1"/>
  <c r="AK68" i="1"/>
  <c r="AN72" i="1"/>
  <c r="AK72" i="1"/>
  <c r="AN76" i="1"/>
  <c r="AK76" i="1"/>
  <c r="AN80" i="1"/>
  <c r="AK80" i="1"/>
  <c r="AN84" i="1"/>
  <c r="AK84" i="1"/>
  <c r="AN88" i="1"/>
  <c r="AK88" i="1"/>
  <c r="AN92" i="1"/>
  <c r="AK92" i="1"/>
  <c r="AN96" i="1"/>
  <c r="AK96" i="1"/>
  <c r="AN100" i="1"/>
  <c r="AK100" i="1"/>
  <c r="AN104" i="1"/>
  <c r="AK104" i="1"/>
  <c r="AN108" i="1"/>
  <c r="AK108" i="1"/>
  <c r="AN112" i="1"/>
  <c r="AK112" i="1"/>
  <c r="AN116" i="1"/>
  <c r="AK116" i="1"/>
  <c r="AN120" i="1"/>
  <c r="AK120" i="1"/>
  <c r="AN124" i="1"/>
  <c r="AK124" i="1"/>
  <c r="AN128" i="1"/>
  <c r="AK128" i="1"/>
  <c r="AN132" i="1"/>
  <c r="AK132" i="1"/>
  <c r="AN136" i="1"/>
  <c r="AK136" i="1"/>
  <c r="AN140" i="1"/>
  <c r="AK140" i="1"/>
  <c r="AN144" i="1"/>
  <c r="AK144" i="1"/>
  <c r="AN148" i="1"/>
  <c r="AK148" i="1"/>
  <c r="AN152" i="1"/>
  <c r="AK152" i="1"/>
  <c r="AN156" i="1"/>
  <c r="AK156" i="1"/>
  <c r="AN160" i="1"/>
  <c r="AK160" i="1"/>
  <c r="AN164" i="1"/>
  <c r="AK164" i="1"/>
  <c r="AN168" i="1"/>
  <c r="AK168" i="1"/>
  <c r="AN172" i="1"/>
  <c r="AK172" i="1"/>
  <c r="AN176" i="1"/>
  <c r="AK176" i="1"/>
  <c r="AN180" i="1"/>
  <c r="AK180" i="1"/>
  <c r="AN184" i="1"/>
  <c r="AK184" i="1"/>
  <c r="AN188" i="1"/>
  <c r="AK188" i="1"/>
  <c r="AN192" i="1"/>
  <c r="AK192" i="1"/>
  <c r="AN196" i="1"/>
  <c r="AK196" i="1"/>
  <c r="AN200" i="1"/>
  <c r="AK200" i="1"/>
  <c r="AN37" i="1"/>
  <c r="AK37" i="1"/>
  <c r="AN73" i="1"/>
  <c r="AK73" i="1"/>
  <c r="AN121" i="1"/>
  <c r="AK121" i="1"/>
  <c r="AN21" i="1"/>
  <c r="AK21" i="1"/>
  <c r="AN25" i="1"/>
  <c r="AK25" i="1"/>
  <c r="AN41" i="1"/>
  <c r="AK41" i="1"/>
  <c r="AN57" i="1"/>
  <c r="AK57" i="1"/>
  <c r="AN77" i="1"/>
  <c r="AK77" i="1"/>
  <c r="AN97" i="1"/>
  <c r="AK97" i="1"/>
  <c r="AN109" i="1"/>
  <c r="AK109" i="1"/>
  <c r="AN125" i="1"/>
  <c r="AK125" i="1"/>
  <c r="AN129" i="1"/>
  <c r="AK129" i="1"/>
  <c r="AN145" i="1"/>
  <c r="AK145" i="1"/>
  <c r="AN181" i="1"/>
  <c r="AK181" i="1"/>
  <c r="AN193" i="1"/>
  <c r="AK193" i="1"/>
  <c r="AN197" i="1"/>
  <c r="AK197" i="1"/>
  <c r="AN4" i="1"/>
  <c r="AK4" i="1"/>
  <c r="AN3" i="1"/>
  <c r="AK3" i="1"/>
  <c r="AN206" i="1"/>
  <c r="AN205" i="1"/>
  <c r="AN204" i="1"/>
  <c r="AN7" i="1"/>
  <c r="AK7" i="1"/>
  <c r="AN11" i="1"/>
  <c r="AK11" i="1"/>
  <c r="AN15" i="1"/>
  <c r="AK15" i="1"/>
  <c r="AN19" i="1"/>
  <c r="AK19" i="1"/>
  <c r="AN23" i="1"/>
  <c r="AK23" i="1"/>
  <c r="AN27" i="1"/>
  <c r="AK27" i="1"/>
  <c r="AN31" i="1"/>
  <c r="AK31" i="1"/>
  <c r="AN35" i="1"/>
  <c r="AK35" i="1"/>
  <c r="AN39" i="1"/>
  <c r="AK39" i="1"/>
  <c r="AN43" i="1"/>
  <c r="AK43" i="1"/>
  <c r="AN47" i="1"/>
  <c r="AK47" i="1"/>
  <c r="AN51" i="1"/>
  <c r="AK51" i="1"/>
  <c r="AN55" i="1"/>
  <c r="AK55" i="1"/>
  <c r="AN59" i="1"/>
  <c r="AK59" i="1"/>
  <c r="AN63" i="1"/>
  <c r="AK63" i="1"/>
  <c r="AN67" i="1"/>
  <c r="AK67" i="1"/>
  <c r="AN71" i="1"/>
  <c r="AK71" i="1"/>
  <c r="AN75" i="1"/>
  <c r="AK75" i="1"/>
  <c r="AN79" i="1"/>
  <c r="AK79" i="1"/>
  <c r="AN83" i="1"/>
  <c r="AK83" i="1"/>
  <c r="AN87" i="1"/>
  <c r="AK87" i="1"/>
  <c r="AN91" i="1"/>
  <c r="AK91" i="1"/>
  <c r="AN95" i="1"/>
  <c r="AK95" i="1"/>
  <c r="AN99" i="1"/>
  <c r="AK99" i="1"/>
  <c r="AN103" i="1"/>
  <c r="AK103" i="1"/>
  <c r="AN107" i="1"/>
  <c r="AK107" i="1"/>
  <c r="AN111" i="1"/>
  <c r="AK111" i="1"/>
  <c r="AN115" i="1"/>
  <c r="AK115" i="1"/>
  <c r="AN119" i="1"/>
  <c r="AK119" i="1"/>
  <c r="AN123" i="1"/>
  <c r="AK123" i="1"/>
  <c r="AN127" i="1"/>
  <c r="AK127" i="1"/>
  <c r="AN131" i="1"/>
  <c r="AK131" i="1"/>
  <c r="AN135" i="1"/>
  <c r="AK135" i="1"/>
  <c r="AN139" i="1"/>
  <c r="AK139" i="1"/>
  <c r="AN143" i="1"/>
  <c r="AK143" i="1"/>
  <c r="AN147" i="1"/>
  <c r="AK147" i="1"/>
  <c r="AN151" i="1"/>
  <c r="AK151" i="1"/>
  <c r="AN155" i="1"/>
  <c r="AK155" i="1"/>
  <c r="AN159" i="1"/>
  <c r="AK159" i="1"/>
  <c r="AN163" i="1"/>
  <c r="AK163" i="1"/>
  <c r="AN167" i="1"/>
  <c r="AK167" i="1"/>
  <c r="AN171" i="1"/>
  <c r="AK171" i="1"/>
  <c r="AN175" i="1"/>
  <c r="AK175" i="1"/>
  <c r="AN179" i="1"/>
  <c r="AK179" i="1"/>
  <c r="AN183" i="1"/>
  <c r="AK183" i="1"/>
  <c r="AN187" i="1"/>
  <c r="AK187" i="1"/>
  <c r="AN191" i="1"/>
  <c r="AK191" i="1"/>
  <c r="AN195" i="1"/>
  <c r="AK195" i="1"/>
  <c r="AN199" i="1"/>
  <c r="AK199" i="1"/>
  <c r="AN5" i="1"/>
  <c r="AK5" i="1"/>
  <c r="AN29" i="1"/>
  <c r="AK29" i="1"/>
  <c r="AN69" i="1"/>
  <c r="AK69" i="1"/>
  <c r="AN133" i="1"/>
  <c r="AK133" i="1"/>
  <c r="AN161" i="1"/>
  <c r="AK161" i="1"/>
  <c r="AN169" i="1"/>
  <c r="AK169" i="1"/>
  <c r="AN177" i="1"/>
  <c r="AK177" i="1"/>
  <c r="BO60" i="1"/>
  <c r="BO84" i="1"/>
  <c r="AN203" i="1"/>
  <c r="AN13" i="1"/>
  <c r="AK13" i="1"/>
  <c r="AN17" i="1"/>
  <c r="AK17" i="1"/>
  <c r="AN33" i="1"/>
  <c r="AK33" i="1"/>
  <c r="AN49" i="1"/>
  <c r="AK49" i="1"/>
  <c r="AN65" i="1"/>
  <c r="AK65" i="1"/>
  <c r="AN81" i="1"/>
  <c r="AK81" i="1"/>
  <c r="AN85" i="1"/>
  <c r="AK85" i="1"/>
  <c r="AN89" i="1"/>
  <c r="AK89" i="1"/>
  <c r="AN105" i="1"/>
  <c r="AK105" i="1"/>
  <c r="AN117" i="1"/>
  <c r="AK117" i="1"/>
  <c r="AN137" i="1"/>
  <c r="AK137" i="1"/>
  <c r="AN153" i="1"/>
  <c r="AK153" i="1"/>
  <c r="AN165" i="1"/>
  <c r="AK165" i="1"/>
  <c r="AN173" i="1"/>
  <c r="AK173" i="1"/>
  <c r="AN185" i="1"/>
  <c r="AK185" i="1"/>
  <c r="AN189" i="1"/>
  <c r="AK189" i="1"/>
  <c r="AN201" i="1"/>
  <c r="AK201" i="1"/>
  <c r="AN6" i="1"/>
  <c r="AK6" i="1"/>
  <c r="AN10" i="1"/>
  <c r="AK10" i="1"/>
  <c r="AN14" i="1"/>
  <c r="AK14" i="1"/>
  <c r="AN18" i="1"/>
  <c r="AK18" i="1"/>
  <c r="AN22" i="1"/>
  <c r="AK22" i="1"/>
  <c r="AN26" i="1"/>
  <c r="AK26" i="1"/>
  <c r="AN30" i="1"/>
  <c r="AK30" i="1"/>
  <c r="AN34" i="1"/>
  <c r="AK34" i="1"/>
  <c r="AN38" i="1"/>
  <c r="AK38" i="1"/>
  <c r="AN42" i="1"/>
  <c r="AK42" i="1"/>
  <c r="AN46" i="1"/>
  <c r="AK46" i="1"/>
  <c r="AN50" i="1"/>
  <c r="AK50" i="1"/>
  <c r="AN54" i="1"/>
  <c r="AK54" i="1"/>
  <c r="AN58" i="1"/>
  <c r="AK58" i="1"/>
  <c r="AN62" i="1"/>
  <c r="AK62" i="1"/>
  <c r="AN66" i="1"/>
  <c r="AK66" i="1"/>
  <c r="AN70" i="1"/>
  <c r="AK70" i="1"/>
  <c r="AN74" i="1"/>
  <c r="AK74" i="1"/>
  <c r="AN78" i="1"/>
  <c r="AK78" i="1"/>
  <c r="AN82" i="1"/>
  <c r="AK82" i="1"/>
  <c r="AN86" i="1"/>
  <c r="AK86" i="1"/>
  <c r="AN90" i="1"/>
  <c r="AK90" i="1"/>
  <c r="AN94" i="1"/>
  <c r="AK94" i="1"/>
  <c r="AN98" i="1"/>
  <c r="AK98" i="1"/>
  <c r="AN102" i="1"/>
  <c r="AK102" i="1"/>
  <c r="AN106" i="1"/>
  <c r="AK106" i="1"/>
  <c r="AN110" i="1"/>
  <c r="AK110" i="1"/>
  <c r="AN114" i="1"/>
  <c r="AK114" i="1"/>
  <c r="AN118" i="1"/>
  <c r="AK118" i="1"/>
  <c r="AN122" i="1"/>
  <c r="AK122" i="1"/>
  <c r="AN126" i="1"/>
  <c r="AK126" i="1"/>
  <c r="AN130" i="1"/>
  <c r="AK130" i="1"/>
  <c r="AN134" i="1"/>
  <c r="AK134" i="1"/>
  <c r="AN138" i="1"/>
  <c r="AK138" i="1"/>
  <c r="AN142" i="1"/>
  <c r="AK142" i="1"/>
  <c r="AN146" i="1"/>
  <c r="AK146" i="1"/>
  <c r="AN150" i="1"/>
  <c r="AK150" i="1"/>
  <c r="AN154" i="1"/>
  <c r="AK154" i="1"/>
  <c r="AN158" i="1"/>
  <c r="AK158" i="1"/>
  <c r="AN162" i="1"/>
  <c r="AK162" i="1"/>
  <c r="AN166" i="1"/>
  <c r="AK166" i="1"/>
  <c r="AN170" i="1"/>
  <c r="AK170" i="1"/>
  <c r="AN174" i="1"/>
  <c r="AK174" i="1"/>
  <c r="AN178" i="1"/>
  <c r="AK178" i="1"/>
  <c r="AN182" i="1"/>
  <c r="AK182" i="1"/>
  <c r="AN186" i="1"/>
  <c r="AK186" i="1"/>
  <c r="AN190" i="1"/>
  <c r="AK190" i="1"/>
  <c r="AN194" i="1"/>
  <c r="AK194" i="1"/>
  <c r="AN198" i="1"/>
  <c r="AK198" i="1"/>
  <c r="AN202" i="1"/>
  <c r="AK203" i="1"/>
  <c r="AK202" i="1"/>
  <c r="BO32" i="1"/>
  <c r="BO72" i="1"/>
  <c r="BO108" i="1"/>
  <c r="BO120" i="1"/>
  <c r="BO128" i="1"/>
  <c r="BO184" i="1"/>
  <c r="BO188" i="1"/>
  <c r="BU6" i="1"/>
  <c r="BM6" i="1"/>
  <c r="BU10" i="1"/>
  <c r="BM10" i="1"/>
  <c r="BU14" i="1"/>
  <c r="BM14" i="1"/>
  <c r="BU18" i="1"/>
  <c r="BM18" i="1"/>
  <c r="BU22" i="1"/>
  <c r="BM22" i="1"/>
  <c r="BU26" i="1"/>
  <c r="BM26" i="1"/>
  <c r="BU30" i="1"/>
  <c r="BM30" i="1"/>
  <c r="BM34" i="1"/>
  <c r="BU34" i="1"/>
  <c r="BU38" i="1"/>
  <c r="BM38" i="1"/>
  <c r="BM42" i="1"/>
  <c r="BU42" i="1"/>
  <c r="BU46" i="1"/>
  <c r="BM46" i="1"/>
  <c r="BM50" i="1"/>
  <c r="BU50" i="1"/>
  <c r="BU54" i="1"/>
  <c r="BM54" i="1"/>
  <c r="BM58" i="1"/>
  <c r="BU58" i="1"/>
  <c r="BU62" i="1"/>
  <c r="BM62" i="1"/>
  <c r="BU66" i="1"/>
  <c r="BM66" i="1"/>
  <c r="BU70" i="1"/>
  <c r="BM70" i="1"/>
  <c r="BU74" i="1"/>
  <c r="BM74" i="1"/>
  <c r="BU78" i="1"/>
  <c r="BM78" i="1"/>
  <c r="BU82" i="1"/>
  <c r="BM82" i="1"/>
  <c r="BU86" i="1"/>
  <c r="BM86" i="1"/>
  <c r="BU90" i="1"/>
  <c r="BM90" i="1"/>
  <c r="BU94" i="1"/>
  <c r="BM94" i="1"/>
  <c r="BM98" i="1"/>
  <c r="BU98" i="1"/>
  <c r="BU102" i="1"/>
  <c r="BM102" i="1"/>
  <c r="BM106" i="1"/>
  <c r="BU106" i="1"/>
  <c r="BU110" i="1"/>
  <c r="BM110" i="1"/>
  <c r="BM114" i="1"/>
  <c r="BU114" i="1"/>
  <c r="BU118" i="1"/>
  <c r="BM118" i="1"/>
  <c r="BM122" i="1"/>
  <c r="BU122" i="1"/>
  <c r="BU126" i="1"/>
  <c r="BM126" i="1"/>
  <c r="BU130" i="1"/>
  <c r="BM130" i="1"/>
  <c r="BU134" i="1"/>
  <c r="BM134" i="1"/>
  <c r="BU138" i="1"/>
  <c r="BM138" i="1"/>
  <c r="BU142" i="1"/>
  <c r="BM142" i="1"/>
  <c r="BU146" i="1"/>
  <c r="BM146" i="1"/>
  <c r="BU150" i="1"/>
  <c r="BM150" i="1"/>
  <c r="BU154" i="1"/>
  <c r="BM154" i="1"/>
  <c r="BU158" i="1"/>
  <c r="BM158" i="1"/>
  <c r="BU162" i="1"/>
  <c r="BM162" i="1"/>
  <c r="BU166" i="1"/>
  <c r="BM166" i="1"/>
  <c r="BU170" i="1"/>
  <c r="BM170" i="1"/>
  <c r="BU174" i="1"/>
  <c r="BM174" i="1"/>
  <c r="BU178" i="1"/>
  <c r="BM178" i="1"/>
  <c r="BU182" i="1"/>
  <c r="BM182" i="1"/>
  <c r="BU186" i="1"/>
  <c r="BM186" i="1"/>
  <c r="BU190" i="1"/>
  <c r="BM190" i="1"/>
  <c r="BU194" i="1"/>
  <c r="BM194" i="1"/>
  <c r="BU198" i="1"/>
  <c r="BM198" i="1"/>
  <c r="BO202" i="1"/>
  <c r="BO16" i="1"/>
  <c r="BO24" i="1"/>
  <c r="BO40" i="1"/>
  <c r="BO92" i="1"/>
  <c r="BO116" i="1"/>
  <c r="BO124" i="1"/>
  <c r="BO164" i="1"/>
  <c r="BO176" i="1"/>
  <c r="BO31" i="1"/>
  <c r="BO35" i="1"/>
  <c r="BO43" i="1"/>
  <c r="BO47" i="1"/>
  <c r="BO55" i="1"/>
  <c r="BO59" i="1"/>
  <c r="BO67" i="1"/>
  <c r="BO71" i="1"/>
  <c r="BO79" i="1"/>
  <c r="BO87" i="1"/>
  <c r="BO95" i="1"/>
  <c r="BO107" i="1"/>
  <c r="BO111" i="1"/>
  <c r="BO119" i="1"/>
  <c r="BO123" i="1"/>
  <c r="BO127" i="1"/>
  <c r="BO131" i="1"/>
  <c r="BO135" i="1"/>
  <c r="BO139" i="1"/>
  <c r="BO143" i="1"/>
  <c r="BO147" i="1"/>
  <c r="BO151" i="1"/>
  <c r="BO155" i="1"/>
  <c r="BO159" i="1"/>
  <c r="BO163" i="1"/>
  <c r="BO167" i="1"/>
  <c r="BO171" i="1"/>
  <c r="BO175" i="1"/>
  <c r="BO179" i="1"/>
  <c r="BO183" i="1"/>
  <c r="BO187" i="1"/>
  <c r="CH191" i="1"/>
  <c r="CK191" i="1" s="1"/>
  <c r="BO191" i="1"/>
  <c r="BO203" i="1"/>
  <c r="CH195" i="1"/>
  <c r="CK195" i="1" s="1"/>
  <c r="BO195" i="1"/>
  <c r="BO207" i="1"/>
  <c r="CH199" i="1"/>
  <c r="BO199" i="1"/>
  <c r="BO64" i="1"/>
  <c r="BO104" i="1"/>
  <c r="BO132" i="1"/>
  <c r="BO144" i="1"/>
  <c r="BO152" i="1"/>
  <c r="CH196" i="1"/>
  <c r="BO196" i="1"/>
  <c r="BO27" i="1"/>
  <c r="BO39" i="1"/>
  <c r="BO51" i="1"/>
  <c r="BO63" i="1"/>
  <c r="BO75" i="1"/>
  <c r="BO83" i="1"/>
  <c r="BO91" i="1"/>
  <c r="BO99" i="1"/>
  <c r="BO103" i="1"/>
  <c r="BO115" i="1"/>
  <c r="BU5" i="1"/>
  <c r="BM5" i="1"/>
  <c r="BU9" i="1"/>
  <c r="BM9" i="1"/>
  <c r="BU13" i="1"/>
  <c r="BM13" i="1"/>
  <c r="BU17" i="1"/>
  <c r="BM17" i="1"/>
  <c r="BU21" i="1"/>
  <c r="BM21" i="1"/>
  <c r="BU25" i="1"/>
  <c r="BM25" i="1"/>
  <c r="BU29" i="1"/>
  <c r="BM29" i="1"/>
  <c r="BU33" i="1"/>
  <c r="BM33" i="1"/>
  <c r="BU37" i="1"/>
  <c r="BM37" i="1"/>
  <c r="BU41" i="1"/>
  <c r="BM41" i="1"/>
  <c r="BU45" i="1"/>
  <c r="BM45" i="1"/>
  <c r="BU49" i="1"/>
  <c r="BM49" i="1"/>
  <c r="BU53" i="1"/>
  <c r="BM53" i="1"/>
  <c r="BU57" i="1"/>
  <c r="BM57" i="1"/>
  <c r="BU61" i="1"/>
  <c r="BM61" i="1"/>
  <c r="BU65" i="1"/>
  <c r="BM65" i="1"/>
  <c r="BU69" i="1"/>
  <c r="BM69" i="1"/>
  <c r="BU73" i="1"/>
  <c r="BM73" i="1"/>
  <c r="BU77" i="1"/>
  <c r="BM77" i="1"/>
  <c r="BU81" i="1"/>
  <c r="BM81" i="1"/>
  <c r="BU85" i="1"/>
  <c r="BM85" i="1"/>
  <c r="BU89" i="1"/>
  <c r="BM89" i="1"/>
  <c r="BU93" i="1"/>
  <c r="BM93" i="1"/>
  <c r="BU97" i="1"/>
  <c r="BM97" i="1"/>
  <c r="BU101" i="1"/>
  <c r="BM101" i="1"/>
  <c r="BU105" i="1"/>
  <c r="BM105" i="1"/>
  <c r="BU109" i="1"/>
  <c r="BM109" i="1"/>
  <c r="BU113" i="1"/>
  <c r="BM113" i="1"/>
  <c r="BU117" i="1"/>
  <c r="BM117" i="1"/>
  <c r="BU121" i="1"/>
  <c r="BM121" i="1"/>
  <c r="BU125" i="1"/>
  <c r="BM125" i="1"/>
  <c r="BU129" i="1"/>
  <c r="BM129" i="1"/>
  <c r="BU133" i="1"/>
  <c r="BM133" i="1"/>
  <c r="BU137" i="1"/>
  <c r="BM137" i="1"/>
  <c r="BU141" i="1"/>
  <c r="BM141" i="1"/>
  <c r="BU145" i="1"/>
  <c r="BM145" i="1"/>
  <c r="BU149" i="1"/>
  <c r="BM149" i="1"/>
  <c r="BU153" i="1"/>
  <c r="BM153" i="1"/>
  <c r="BU157" i="1"/>
  <c r="BM157" i="1"/>
  <c r="BU161" i="1"/>
  <c r="BM161" i="1"/>
  <c r="BU165" i="1"/>
  <c r="BM165" i="1"/>
  <c r="BU169" i="1"/>
  <c r="BM169" i="1"/>
  <c r="BU173" i="1"/>
  <c r="BM173" i="1"/>
  <c r="BU177" i="1"/>
  <c r="BM177" i="1"/>
  <c r="BU181" i="1"/>
  <c r="BM181" i="1"/>
  <c r="BU185" i="1"/>
  <c r="BM185" i="1"/>
  <c r="BU189" i="1"/>
  <c r="BM189" i="1"/>
  <c r="BU193" i="1"/>
  <c r="BM193" i="1"/>
  <c r="BU197" i="1"/>
  <c r="BM197" i="1"/>
  <c r="BU201" i="1"/>
  <c r="BM201" i="1"/>
  <c r="BO20" i="1"/>
  <c r="BO48" i="1"/>
  <c r="BO56" i="1"/>
  <c r="BO136" i="1"/>
  <c r="BO160" i="1"/>
  <c r="BO172" i="1"/>
  <c r="BO180" i="1"/>
  <c r="CH192" i="1"/>
  <c r="CK192" i="1" s="1"/>
  <c r="BO192" i="1"/>
  <c r="BO204" i="1"/>
  <c r="BO15" i="1"/>
  <c r="BO22" i="1"/>
  <c r="BO30" i="1"/>
  <c r="BO34" i="1"/>
  <c r="BO38" i="1"/>
  <c r="BO42" i="1"/>
  <c r="BO46" i="1"/>
  <c r="BO50" i="1"/>
  <c r="BO54" i="1"/>
  <c r="BO58" i="1"/>
  <c r="BO62" i="1"/>
  <c r="BO66" i="1"/>
  <c r="BO70" i="1"/>
  <c r="BO74" i="1"/>
  <c r="BO78" i="1"/>
  <c r="BO82" i="1"/>
  <c r="BO86" i="1"/>
  <c r="BO90" i="1"/>
  <c r="BO94" i="1"/>
  <c r="BO98" i="1"/>
  <c r="BO102" i="1"/>
  <c r="BO106" i="1"/>
  <c r="BO110" i="1"/>
  <c r="BO114" i="1"/>
  <c r="BO118" i="1"/>
  <c r="BO122" i="1"/>
  <c r="BO126" i="1"/>
  <c r="BO130" i="1"/>
  <c r="BO134" i="1"/>
  <c r="BO138" i="1"/>
  <c r="BO142" i="1"/>
  <c r="BO146" i="1"/>
  <c r="BO150" i="1"/>
  <c r="BO154" i="1"/>
  <c r="BO158" i="1"/>
  <c r="BO162" i="1"/>
  <c r="BO166" i="1"/>
  <c r="BO170" i="1"/>
  <c r="BO174" i="1"/>
  <c r="BO178" i="1"/>
  <c r="BO182" i="1"/>
  <c r="BO186" i="1"/>
  <c r="BO190" i="1"/>
  <c r="CH194" i="1"/>
  <c r="CK194" i="1" s="1"/>
  <c r="BO194" i="1"/>
  <c r="BO206" i="1"/>
  <c r="CH198" i="1"/>
  <c r="BO198" i="1"/>
  <c r="CH200" i="1"/>
  <c r="BO200" i="1"/>
  <c r="AR4" i="1"/>
  <c r="BU4" i="1"/>
  <c r="BM4" i="1"/>
  <c r="BU8" i="1"/>
  <c r="BM8" i="1"/>
  <c r="BU12" i="1"/>
  <c r="BM12" i="1"/>
  <c r="BU16" i="1"/>
  <c r="BM16" i="1"/>
  <c r="BU20" i="1"/>
  <c r="BM20" i="1"/>
  <c r="BU24" i="1"/>
  <c r="BM24" i="1"/>
  <c r="BU28" i="1"/>
  <c r="BM28" i="1"/>
  <c r="BU32" i="1"/>
  <c r="BM32" i="1"/>
  <c r="BU36" i="1"/>
  <c r="BM36" i="1"/>
  <c r="BU40" i="1"/>
  <c r="BM40" i="1"/>
  <c r="BU44" i="1"/>
  <c r="BM44" i="1"/>
  <c r="BU48" i="1"/>
  <c r="BM48" i="1"/>
  <c r="BU52" i="1"/>
  <c r="BM52" i="1"/>
  <c r="BU56" i="1"/>
  <c r="BM56" i="1"/>
  <c r="BU60" i="1"/>
  <c r="BM60" i="1"/>
  <c r="BU64" i="1"/>
  <c r="BM64" i="1"/>
  <c r="BU68" i="1"/>
  <c r="BM68" i="1"/>
  <c r="BU72" i="1"/>
  <c r="BM72" i="1"/>
  <c r="BU76" i="1"/>
  <c r="BM76" i="1"/>
  <c r="BU80" i="1"/>
  <c r="BM80" i="1"/>
  <c r="BU84" i="1"/>
  <c r="BM84" i="1"/>
  <c r="BU88" i="1"/>
  <c r="BM88" i="1"/>
  <c r="BU92" i="1"/>
  <c r="BM92" i="1"/>
  <c r="BU96" i="1"/>
  <c r="BM96" i="1"/>
  <c r="BU100" i="1"/>
  <c r="BM100" i="1"/>
  <c r="BU104" i="1"/>
  <c r="BM104" i="1"/>
  <c r="BU108" i="1"/>
  <c r="BM108" i="1"/>
  <c r="BU112" i="1"/>
  <c r="BM112" i="1"/>
  <c r="BU116" i="1"/>
  <c r="BM116" i="1"/>
  <c r="BU120" i="1"/>
  <c r="BM120" i="1"/>
  <c r="BU124" i="1"/>
  <c r="BM124" i="1"/>
  <c r="BU128" i="1"/>
  <c r="BM128" i="1"/>
  <c r="BU132" i="1"/>
  <c r="BM132" i="1"/>
  <c r="BU136" i="1"/>
  <c r="BM136" i="1"/>
  <c r="BU140" i="1"/>
  <c r="BM140" i="1"/>
  <c r="BU144" i="1"/>
  <c r="BM144" i="1"/>
  <c r="BU148" i="1"/>
  <c r="BM148" i="1"/>
  <c r="BU152" i="1"/>
  <c r="BM152" i="1"/>
  <c r="BU156" i="1"/>
  <c r="BM156" i="1"/>
  <c r="BU160" i="1"/>
  <c r="BM160" i="1"/>
  <c r="BU164" i="1"/>
  <c r="BM164" i="1"/>
  <c r="BU168" i="1"/>
  <c r="BM168" i="1"/>
  <c r="BU172" i="1"/>
  <c r="BM172" i="1"/>
  <c r="BU176" i="1"/>
  <c r="BM176" i="1"/>
  <c r="BU180" i="1"/>
  <c r="BM180" i="1"/>
  <c r="BU184" i="1"/>
  <c r="BM184" i="1"/>
  <c r="BU188" i="1"/>
  <c r="BM188" i="1"/>
  <c r="BU192" i="1"/>
  <c r="BM192" i="1"/>
  <c r="BU196" i="1"/>
  <c r="BM196" i="1"/>
  <c r="BU200" i="1"/>
  <c r="BM200" i="1"/>
  <c r="BO36" i="1"/>
  <c r="BO52" i="1"/>
  <c r="BO80" i="1"/>
  <c r="BO88" i="1"/>
  <c r="BO100" i="1"/>
  <c r="BO112" i="1"/>
  <c r="BO140" i="1"/>
  <c r="BO148" i="1"/>
  <c r="BO156" i="1"/>
  <c r="BO23" i="1"/>
  <c r="BO21" i="1"/>
  <c r="BO33" i="1"/>
  <c r="BO37" i="1"/>
  <c r="BO49" i="1"/>
  <c r="BO53" i="1"/>
  <c r="BO61" i="1"/>
  <c r="BO73" i="1"/>
  <c r="BO77" i="1"/>
  <c r="BO81" i="1"/>
  <c r="BO85" i="1"/>
  <c r="BO89" i="1"/>
  <c r="BO93" i="1"/>
  <c r="BO97" i="1"/>
  <c r="BO101" i="1"/>
  <c r="BO105" i="1"/>
  <c r="BO109" i="1"/>
  <c r="BO113" i="1"/>
  <c r="BO117" i="1"/>
  <c r="BO121" i="1"/>
  <c r="BO125" i="1"/>
  <c r="BO129" i="1"/>
  <c r="BO133" i="1"/>
  <c r="BO137" i="1"/>
  <c r="BO141" i="1"/>
  <c r="BO145" i="1"/>
  <c r="BO149" i="1"/>
  <c r="BO153" i="1"/>
  <c r="BO157" i="1"/>
  <c r="BO161" i="1"/>
  <c r="BO165" i="1"/>
  <c r="BO169" i="1"/>
  <c r="BO173" i="1"/>
  <c r="BO177" i="1"/>
  <c r="BO181" i="1"/>
  <c r="BO185" i="1"/>
  <c r="BO189" i="1"/>
  <c r="CH193" i="1"/>
  <c r="CK193" i="1" s="1"/>
  <c r="BO193" i="1"/>
  <c r="BO205" i="1"/>
  <c r="CH197" i="1"/>
  <c r="BO197" i="1"/>
  <c r="BO201" i="1"/>
  <c r="BO28" i="1"/>
  <c r="BO44" i="1"/>
  <c r="BO68" i="1"/>
  <c r="BO76" i="1"/>
  <c r="BO96" i="1"/>
  <c r="BO168" i="1"/>
  <c r="BO19" i="1"/>
  <c r="BO18" i="1"/>
  <c r="BO26" i="1"/>
  <c r="BO17" i="1"/>
  <c r="BO25" i="1"/>
  <c r="BO29" i="1"/>
  <c r="BO41" i="1"/>
  <c r="BO45" i="1"/>
  <c r="BO57" i="1"/>
  <c r="BO65" i="1"/>
  <c r="BO69" i="1"/>
  <c r="BU3" i="1"/>
  <c r="BM3" i="1"/>
  <c r="BU7" i="1"/>
  <c r="BM7" i="1"/>
  <c r="BU11" i="1"/>
  <c r="BM11" i="1"/>
  <c r="BU15" i="1"/>
  <c r="BM15" i="1"/>
  <c r="BU19" i="1"/>
  <c r="BM19" i="1"/>
  <c r="BU23" i="1"/>
  <c r="BM23" i="1"/>
  <c r="BU27" i="1"/>
  <c r="BM27" i="1"/>
  <c r="BU31" i="1"/>
  <c r="BM31" i="1"/>
  <c r="BU35" i="1"/>
  <c r="BM35" i="1"/>
  <c r="BU39" i="1"/>
  <c r="BM39" i="1"/>
  <c r="BU43" i="1"/>
  <c r="BM43" i="1"/>
  <c r="BU47" i="1"/>
  <c r="BM47" i="1"/>
  <c r="BU51" i="1"/>
  <c r="BM51" i="1"/>
  <c r="BU55" i="1"/>
  <c r="BM55" i="1"/>
  <c r="BU59" i="1"/>
  <c r="BM59" i="1"/>
  <c r="BU63" i="1"/>
  <c r="BM63" i="1"/>
  <c r="BU67" i="1"/>
  <c r="BM67" i="1"/>
  <c r="BU71" i="1"/>
  <c r="BM71" i="1"/>
  <c r="BU75" i="1"/>
  <c r="BM75" i="1"/>
  <c r="BU79" i="1"/>
  <c r="BM79" i="1"/>
  <c r="BU83" i="1"/>
  <c r="BM83" i="1"/>
  <c r="BU87" i="1"/>
  <c r="BM87" i="1"/>
  <c r="BU91" i="1"/>
  <c r="BM91" i="1"/>
  <c r="BU95" i="1"/>
  <c r="BM95" i="1"/>
  <c r="BU99" i="1"/>
  <c r="BM99" i="1"/>
  <c r="BU103" i="1"/>
  <c r="BM103" i="1"/>
  <c r="BU107" i="1"/>
  <c r="BM107" i="1"/>
  <c r="BU111" i="1"/>
  <c r="BM111" i="1"/>
  <c r="BU115" i="1"/>
  <c r="BM115" i="1"/>
  <c r="BU119" i="1"/>
  <c r="BM119" i="1"/>
  <c r="BU123" i="1"/>
  <c r="BM123" i="1"/>
  <c r="BU127" i="1"/>
  <c r="BM127" i="1"/>
  <c r="BU131" i="1"/>
  <c r="BM131" i="1"/>
  <c r="BU135" i="1"/>
  <c r="BM135" i="1"/>
  <c r="BU139" i="1"/>
  <c r="BM139" i="1"/>
  <c r="BU143" i="1"/>
  <c r="BM143" i="1"/>
  <c r="BU147" i="1"/>
  <c r="BM147" i="1"/>
  <c r="BU151" i="1"/>
  <c r="BM151" i="1"/>
  <c r="BU155" i="1"/>
  <c r="BM155" i="1"/>
  <c r="BU159" i="1"/>
  <c r="BM159" i="1"/>
  <c r="BU163" i="1"/>
  <c r="BM163" i="1"/>
  <c r="BU167" i="1"/>
  <c r="BM167" i="1"/>
  <c r="BU171" i="1"/>
  <c r="BM171" i="1"/>
  <c r="BU175" i="1"/>
  <c r="BM175" i="1"/>
  <c r="BU179" i="1"/>
  <c r="BM179" i="1"/>
  <c r="BU183" i="1"/>
  <c r="BM183" i="1"/>
  <c r="BU187" i="1"/>
  <c r="BM187" i="1"/>
  <c r="BU191" i="1"/>
  <c r="BM191" i="1"/>
  <c r="BU195" i="1"/>
  <c r="BM195" i="1"/>
  <c r="BU199" i="1"/>
  <c r="BM199" i="1"/>
  <c r="BU203" i="1"/>
  <c r="CB203" i="1" s="1"/>
  <c r="BU204" i="1"/>
  <c r="BU205" i="1"/>
  <c r="CB205" i="1" s="1"/>
  <c r="BU206" i="1"/>
  <c r="BU202" i="1"/>
  <c r="BM204" i="1"/>
  <c r="BM205" i="1"/>
  <c r="BM206" i="1"/>
  <c r="BM203" i="1"/>
  <c r="BM202" i="1"/>
  <c r="AR12" i="1"/>
  <c r="AR24" i="1"/>
  <c r="AR7" i="1"/>
  <c r="AR15" i="1"/>
  <c r="AR19" i="1"/>
  <c r="AR31" i="1"/>
  <c r="AR6" i="1"/>
  <c r="AR10" i="1"/>
  <c r="AR14" i="1"/>
  <c r="AR18" i="1"/>
  <c r="AR22" i="1"/>
  <c r="AR26" i="1"/>
  <c r="AR30" i="1"/>
  <c r="AR34" i="1"/>
  <c r="AR38" i="1"/>
  <c r="AR42" i="1"/>
  <c r="AR46" i="1"/>
  <c r="AR50" i="1"/>
  <c r="AR54" i="1"/>
  <c r="AR58" i="1"/>
  <c r="AR62" i="1"/>
  <c r="AR66" i="1"/>
  <c r="AR70" i="1"/>
  <c r="AR74" i="1"/>
  <c r="AR78" i="1"/>
  <c r="AR82" i="1"/>
  <c r="AR86" i="1"/>
  <c r="AR90" i="1"/>
  <c r="AR94" i="1"/>
  <c r="AR98" i="1"/>
  <c r="AR102" i="1"/>
  <c r="AR106" i="1"/>
  <c r="AR110" i="1"/>
  <c r="AR114" i="1"/>
  <c r="AR118" i="1"/>
  <c r="AR122" i="1"/>
  <c r="AR126" i="1"/>
  <c r="AR130" i="1"/>
  <c r="AR134" i="1"/>
  <c r="AR138" i="1"/>
  <c r="AR142" i="1"/>
  <c r="AR146" i="1"/>
  <c r="AR150" i="1"/>
  <c r="AR154" i="1"/>
  <c r="AR158" i="1"/>
  <c r="AR162" i="1"/>
  <c r="AR166" i="1"/>
  <c r="AR170" i="1"/>
  <c r="AR174" i="1"/>
  <c r="AR178" i="1"/>
  <c r="AR182" i="1"/>
  <c r="AR186" i="1"/>
  <c r="AR190" i="1"/>
  <c r="AR194" i="1"/>
  <c r="AR198" i="1"/>
  <c r="F202" i="1"/>
  <c r="AH202" i="1" s="1"/>
  <c r="AR202" i="1"/>
  <c r="AR9" i="1"/>
  <c r="AR13" i="1"/>
  <c r="AR17" i="1"/>
  <c r="AR25" i="1"/>
  <c r="AR29" i="1"/>
  <c r="AR33" i="1"/>
  <c r="AR37" i="1"/>
  <c r="AR41" i="1"/>
  <c r="AR45" i="1"/>
  <c r="AR49" i="1"/>
  <c r="AR53" i="1"/>
  <c r="AR57" i="1"/>
  <c r="AR61" i="1"/>
  <c r="AR65" i="1"/>
  <c r="AR69" i="1"/>
  <c r="AR73" i="1"/>
  <c r="AR77" i="1"/>
  <c r="AR81" i="1"/>
  <c r="AR85" i="1"/>
  <c r="AR89" i="1"/>
  <c r="AR93" i="1"/>
  <c r="AR97" i="1"/>
  <c r="AR101" i="1"/>
  <c r="AR105" i="1"/>
  <c r="AR109" i="1"/>
  <c r="AR113" i="1"/>
  <c r="AR117" i="1"/>
  <c r="AR121" i="1"/>
  <c r="AR125" i="1"/>
  <c r="AR129" i="1"/>
  <c r="AR133" i="1"/>
  <c r="AR137" i="1"/>
  <c r="AR141" i="1"/>
  <c r="AR145" i="1"/>
  <c r="AR149" i="1"/>
  <c r="AR153" i="1"/>
  <c r="AR157" i="1"/>
  <c r="AR161" i="1"/>
  <c r="AR165" i="1"/>
  <c r="AR169" i="1"/>
  <c r="AR173" i="1"/>
  <c r="AR177" i="1"/>
  <c r="AR181" i="1"/>
  <c r="AR185" i="1"/>
  <c r="AR189" i="1"/>
  <c r="AR193" i="1"/>
  <c r="AR197" i="1"/>
  <c r="AR201" i="1"/>
  <c r="AR5" i="1"/>
  <c r="AR21" i="1"/>
  <c r="AR36" i="1"/>
  <c r="AR40" i="1"/>
  <c r="AR44" i="1"/>
  <c r="AR48" i="1"/>
  <c r="AR52" i="1"/>
  <c r="AR56" i="1"/>
  <c r="AR60" i="1"/>
  <c r="AR64" i="1"/>
  <c r="AR68" i="1"/>
  <c r="AR72" i="1"/>
  <c r="AR76" i="1"/>
  <c r="AR80" i="1"/>
  <c r="AR84" i="1"/>
  <c r="AR88" i="1"/>
  <c r="AR92" i="1"/>
  <c r="AR96" i="1"/>
  <c r="AR100" i="1"/>
  <c r="AR104" i="1"/>
  <c r="AR108" i="1"/>
  <c r="AR112" i="1"/>
  <c r="AR116" i="1"/>
  <c r="AR120" i="1"/>
  <c r="AR124" i="1"/>
  <c r="AR128" i="1"/>
  <c r="AR132" i="1"/>
  <c r="AR136" i="1"/>
  <c r="AR140" i="1"/>
  <c r="AR144" i="1"/>
  <c r="AR148" i="1"/>
  <c r="AR152" i="1"/>
  <c r="AR156" i="1"/>
  <c r="AR160" i="1"/>
  <c r="AR164" i="1"/>
  <c r="AR168" i="1"/>
  <c r="AR172" i="1"/>
  <c r="AR176" i="1"/>
  <c r="AR180" i="1"/>
  <c r="AR184" i="1"/>
  <c r="AR188" i="1"/>
  <c r="AR192" i="1"/>
  <c r="AR196" i="1"/>
  <c r="AR200" i="1"/>
  <c r="AR8" i="1"/>
  <c r="AR16" i="1"/>
  <c r="AR28" i="1"/>
  <c r="AR32" i="1"/>
  <c r="AR3" i="1"/>
  <c r="AR206" i="1"/>
  <c r="AR205" i="1"/>
  <c r="AR204" i="1"/>
  <c r="AR23" i="1"/>
  <c r="AR35" i="1"/>
  <c r="AR39" i="1"/>
  <c r="AR43" i="1"/>
  <c r="AR47" i="1"/>
  <c r="AR51" i="1"/>
  <c r="AR55" i="1"/>
  <c r="AR59" i="1"/>
  <c r="AR63" i="1"/>
  <c r="AR67" i="1"/>
  <c r="AR71" i="1"/>
  <c r="AR75" i="1"/>
  <c r="AR79" i="1"/>
  <c r="AR83" i="1"/>
  <c r="AR87" i="1"/>
  <c r="AR91" i="1"/>
  <c r="AR95" i="1"/>
  <c r="AR99" i="1"/>
  <c r="AR103" i="1"/>
  <c r="AR107" i="1"/>
  <c r="AR111" i="1"/>
  <c r="AR115" i="1"/>
  <c r="AR119" i="1"/>
  <c r="AR123" i="1"/>
  <c r="AR127" i="1"/>
  <c r="AR131" i="1"/>
  <c r="AR135" i="1"/>
  <c r="AR139" i="1"/>
  <c r="AR143" i="1"/>
  <c r="AR147" i="1"/>
  <c r="AR151" i="1"/>
  <c r="AR155" i="1"/>
  <c r="AR159" i="1"/>
  <c r="AR163" i="1"/>
  <c r="AR167" i="1"/>
  <c r="AR171" i="1"/>
  <c r="AR175" i="1"/>
  <c r="AR179" i="1"/>
  <c r="AR183" i="1"/>
  <c r="AR187" i="1"/>
  <c r="AR191" i="1"/>
  <c r="AR195" i="1"/>
  <c r="AR199" i="1"/>
  <c r="AR20" i="1"/>
  <c r="AR11" i="1"/>
  <c r="AR27" i="1"/>
  <c r="BN179" i="1"/>
  <c r="AR203" i="1"/>
  <c r="E6" i="1"/>
  <c r="I6" i="1"/>
  <c r="E10" i="1"/>
  <c r="O10" i="1" s="1"/>
  <c r="I10" i="1"/>
  <c r="F14" i="1"/>
  <c r="AH14" i="1" s="1"/>
  <c r="I14" i="1"/>
  <c r="I18" i="1"/>
  <c r="I22" i="1"/>
  <c r="I26" i="1"/>
  <c r="F30" i="1"/>
  <c r="AH30" i="1" s="1"/>
  <c r="I30" i="1"/>
  <c r="E34" i="1"/>
  <c r="I34" i="1"/>
  <c r="F38" i="1"/>
  <c r="AH38" i="1" s="1"/>
  <c r="I38" i="1"/>
  <c r="F42" i="1"/>
  <c r="AH42" i="1" s="1"/>
  <c r="I42" i="1"/>
  <c r="F46" i="1"/>
  <c r="AH46" i="1" s="1"/>
  <c r="I46" i="1"/>
  <c r="F50" i="1"/>
  <c r="AH50" i="1" s="1"/>
  <c r="I50" i="1"/>
  <c r="F54" i="1"/>
  <c r="AH54" i="1" s="1"/>
  <c r="I54" i="1"/>
  <c r="E58" i="1"/>
  <c r="BH58" i="1" s="1"/>
  <c r="I58" i="1"/>
  <c r="E62" i="1"/>
  <c r="BH62" i="1" s="1"/>
  <c r="I62" i="1"/>
  <c r="E66" i="1"/>
  <c r="I66" i="1"/>
  <c r="I70" i="1"/>
  <c r="F74" i="1"/>
  <c r="AH74" i="1" s="1"/>
  <c r="I74" i="1"/>
  <c r="I78" i="1"/>
  <c r="E82" i="1"/>
  <c r="BH82" i="1" s="1"/>
  <c r="I82" i="1"/>
  <c r="F86" i="1"/>
  <c r="AH86" i="1" s="1"/>
  <c r="I86" i="1"/>
  <c r="I90" i="1"/>
  <c r="E94" i="1"/>
  <c r="I94" i="1"/>
  <c r="E98" i="1"/>
  <c r="I98" i="1"/>
  <c r="F102" i="1"/>
  <c r="AH102" i="1" s="1"/>
  <c r="I102" i="1"/>
  <c r="E106" i="1"/>
  <c r="I106" i="1"/>
  <c r="F110" i="1"/>
  <c r="AH110" i="1" s="1"/>
  <c r="I110" i="1"/>
  <c r="F114" i="1"/>
  <c r="AH114" i="1" s="1"/>
  <c r="I114" i="1"/>
  <c r="E118" i="1"/>
  <c r="AF118" i="1" s="1"/>
  <c r="I118" i="1"/>
  <c r="F122" i="1"/>
  <c r="AH122" i="1" s="1"/>
  <c r="I122" i="1"/>
  <c r="F126" i="1"/>
  <c r="AH126" i="1" s="1"/>
  <c r="I126" i="1"/>
  <c r="F130" i="1"/>
  <c r="AH130" i="1" s="1"/>
  <c r="I130" i="1"/>
  <c r="E134" i="1"/>
  <c r="BH134" i="1" s="1"/>
  <c r="I134" i="1"/>
  <c r="F138" i="1"/>
  <c r="AH138" i="1" s="1"/>
  <c r="I138" i="1"/>
  <c r="E142" i="1"/>
  <c r="I142" i="1"/>
  <c r="F146" i="1"/>
  <c r="AH146" i="1" s="1"/>
  <c r="I146" i="1"/>
  <c r="F150" i="1"/>
  <c r="AH150" i="1" s="1"/>
  <c r="I150" i="1"/>
  <c r="F154" i="1"/>
  <c r="AH154" i="1" s="1"/>
  <c r="I154" i="1"/>
  <c r="F158" i="1"/>
  <c r="AH158" i="1" s="1"/>
  <c r="I158" i="1"/>
  <c r="E162" i="1"/>
  <c r="I162" i="1"/>
  <c r="F166" i="1"/>
  <c r="AH166" i="1" s="1"/>
  <c r="I166" i="1"/>
  <c r="I170" i="1"/>
  <c r="F174" i="1"/>
  <c r="AH174" i="1" s="1"/>
  <c r="I174" i="1"/>
  <c r="I178" i="1"/>
  <c r="F182" i="1"/>
  <c r="AH182" i="1" s="1"/>
  <c r="I182" i="1"/>
  <c r="F186" i="1"/>
  <c r="AH186" i="1" s="1"/>
  <c r="I186" i="1"/>
  <c r="F190" i="1"/>
  <c r="AH190" i="1" s="1"/>
  <c r="I190" i="1"/>
  <c r="I194" i="1"/>
  <c r="F198" i="1"/>
  <c r="AH198" i="1" s="1"/>
  <c r="I198" i="1"/>
  <c r="E5" i="1"/>
  <c r="BH5" i="1" s="1"/>
  <c r="I5" i="1"/>
  <c r="F9" i="1"/>
  <c r="AH9" i="1" s="1"/>
  <c r="I9" i="1"/>
  <c r="I13" i="1"/>
  <c r="F17" i="1"/>
  <c r="AH17" i="1" s="1"/>
  <c r="I17" i="1"/>
  <c r="F21" i="1"/>
  <c r="AH21" i="1" s="1"/>
  <c r="I21" i="1"/>
  <c r="F25" i="1"/>
  <c r="AH25" i="1" s="1"/>
  <c r="I25" i="1"/>
  <c r="F29" i="1"/>
  <c r="AH29" i="1" s="1"/>
  <c r="I29" i="1"/>
  <c r="F33" i="1"/>
  <c r="AH33" i="1" s="1"/>
  <c r="I33" i="1"/>
  <c r="F37" i="1"/>
  <c r="AH37" i="1" s="1"/>
  <c r="I37" i="1"/>
  <c r="F41" i="1"/>
  <c r="AH41" i="1" s="1"/>
  <c r="I41" i="1"/>
  <c r="F45" i="1"/>
  <c r="AH45" i="1" s="1"/>
  <c r="I45" i="1"/>
  <c r="I49" i="1"/>
  <c r="F53" i="1"/>
  <c r="AH53" i="1" s="1"/>
  <c r="I53" i="1"/>
  <c r="I57" i="1"/>
  <c r="F61" i="1"/>
  <c r="AH61" i="1" s="1"/>
  <c r="I61" i="1"/>
  <c r="E65" i="1"/>
  <c r="BH65" i="1" s="1"/>
  <c r="I65" i="1"/>
  <c r="E69" i="1"/>
  <c r="O69" i="1" s="1"/>
  <c r="I69" i="1"/>
  <c r="F73" i="1"/>
  <c r="AH73" i="1" s="1"/>
  <c r="I73" i="1"/>
  <c r="E77" i="1"/>
  <c r="AD77" i="1" s="1"/>
  <c r="I77" i="1"/>
  <c r="F81" i="1"/>
  <c r="AH81" i="1" s="1"/>
  <c r="I81" i="1"/>
  <c r="F85" i="1"/>
  <c r="AH85" i="1" s="1"/>
  <c r="I85" i="1"/>
  <c r="I89" i="1"/>
  <c r="I93" i="1"/>
  <c r="E97" i="1"/>
  <c r="AF97" i="1" s="1"/>
  <c r="I97" i="1"/>
  <c r="E101" i="1"/>
  <c r="BH101" i="1" s="1"/>
  <c r="I101" i="1"/>
  <c r="F105" i="1"/>
  <c r="AH105" i="1" s="1"/>
  <c r="I105" i="1"/>
  <c r="E109" i="1"/>
  <c r="I109" i="1"/>
  <c r="F113" i="1"/>
  <c r="AH113" i="1" s="1"/>
  <c r="I113" i="1"/>
  <c r="I117" i="1"/>
  <c r="I121" i="1"/>
  <c r="F125" i="1"/>
  <c r="AH125" i="1" s="1"/>
  <c r="I125" i="1"/>
  <c r="E129" i="1"/>
  <c r="I129" i="1"/>
  <c r="F133" i="1"/>
  <c r="AH133" i="1" s="1"/>
  <c r="I133" i="1"/>
  <c r="F137" i="1"/>
  <c r="AH137" i="1" s="1"/>
  <c r="I137" i="1"/>
  <c r="F141" i="1"/>
  <c r="AH141" i="1" s="1"/>
  <c r="I141" i="1"/>
  <c r="F145" i="1"/>
  <c r="AH145" i="1" s="1"/>
  <c r="I145" i="1"/>
  <c r="F149" i="1"/>
  <c r="AH149" i="1" s="1"/>
  <c r="I149" i="1"/>
  <c r="F153" i="1"/>
  <c r="AH153" i="1" s="1"/>
  <c r="I153" i="1"/>
  <c r="F157" i="1"/>
  <c r="AH157" i="1" s="1"/>
  <c r="I157" i="1"/>
  <c r="F161" i="1"/>
  <c r="AH161" i="1" s="1"/>
  <c r="I161" i="1"/>
  <c r="F165" i="1"/>
  <c r="AH165" i="1" s="1"/>
  <c r="I165" i="1"/>
  <c r="I169" i="1"/>
  <c r="F173" i="1"/>
  <c r="AH173" i="1" s="1"/>
  <c r="I173" i="1"/>
  <c r="E177" i="1"/>
  <c r="AQ177" i="1" s="1"/>
  <c r="I177" i="1"/>
  <c r="E181" i="1"/>
  <c r="BH181" i="1" s="1"/>
  <c r="I181" i="1"/>
  <c r="E185" i="1"/>
  <c r="AF185" i="1" s="1"/>
  <c r="I185" i="1"/>
  <c r="I189" i="1"/>
  <c r="I193" i="1"/>
  <c r="E197" i="1"/>
  <c r="CP197" i="1" s="1"/>
  <c r="I197" i="1"/>
  <c r="F201" i="1"/>
  <c r="AH201" i="1" s="1"/>
  <c r="I201" i="1"/>
  <c r="E8" i="1"/>
  <c r="I8" i="1"/>
  <c r="E12" i="1"/>
  <c r="BH12" i="1" s="1"/>
  <c r="I12" i="1"/>
  <c r="I16" i="1"/>
  <c r="F20" i="1"/>
  <c r="AH20" i="1" s="1"/>
  <c r="I20" i="1"/>
  <c r="F24" i="1"/>
  <c r="AH24" i="1" s="1"/>
  <c r="I24" i="1"/>
  <c r="F28" i="1"/>
  <c r="AH28" i="1" s="1"/>
  <c r="I28" i="1"/>
  <c r="E32" i="1"/>
  <c r="I32" i="1"/>
  <c r="I36" i="1"/>
  <c r="E40" i="1"/>
  <c r="BH40" i="1" s="1"/>
  <c r="I40" i="1"/>
  <c r="F44" i="1"/>
  <c r="AH44" i="1" s="1"/>
  <c r="I44" i="1"/>
  <c r="F48" i="1"/>
  <c r="AH48" i="1" s="1"/>
  <c r="I48" i="1"/>
  <c r="F52" i="1"/>
  <c r="AH52" i="1" s="1"/>
  <c r="I52" i="1"/>
  <c r="F56" i="1"/>
  <c r="AH56" i="1" s="1"/>
  <c r="I56" i="1"/>
  <c r="E60" i="1"/>
  <c r="H60" i="1" s="1"/>
  <c r="I60" i="1"/>
  <c r="E64" i="1"/>
  <c r="BH64" i="1" s="1"/>
  <c r="I64" i="1"/>
  <c r="F68" i="1"/>
  <c r="AH68" i="1" s="1"/>
  <c r="I68" i="1"/>
  <c r="E72" i="1"/>
  <c r="BH72" i="1" s="1"/>
  <c r="I72" i="1"/>
  <c r="I76" i="1"/>
  <c r="I80" i="1"/>
  <c r="F84" i="1"/>
  <c r="AH84" i="1" s="1"/>
  <c r="I84" i="1"/>
  <c r="I88" i="1"/>
  <c r="E92" i="1"/>
  <c r="BH92" i="1" s="1"/>
  <c r="I92" i="1"/>
  <c r="E96" i="1"/>
  <c r="AQ96" i="1" s="1"/>
  <c r="I96" i="1"/>
  <c r="F100" i="1"/>
  <c r="AH100" i="1" s="1"/>
  <c r="I100" i="1"/>
  <c r="E104" i="1"/>
  <c r="I104" i="1"/>
  <c r="F108" i="1"/>
  <c r="AH108" i="1" s="1"/>
  <c r="I108" i="1"/>
  <c r="E112" i="1"/>
  <c r="AF112" i="1" s="1"/>
  <c r="I112" i="1"/>
  <c r="I116" i="1"/>
  <c r="F120" i="1"/>
  <c r="AH120" i="1" s="1"/>
  <c r="I120" i="1"/>
  <c r="E124" i="1"/>
  <c r="BR124" i="1" s="1"/>
  <c r="I124" i="1"/>
  <c r="E128" i="1"/>
  <c r="I128" i="1"/>
  <c r="F132" i="1"/>
  <c r="AH132" i="1" s="1"/>
  <c r="I132" i="1"/>
  <c r="I136" i="1"/>
  <c r="F140" i="1"/>
  <c r="AH140" i="1" s="1"/>
  <c r="I140" i="1"/>
  <c r="F144" i="1"/>
  <c r="AH144" i="1" s="1"/>
  <c r="I144" i="1"/>
  <c r="E148" i="1"/>
  <c r="BH148" i="1" s="1"/>
  <c r="I148" i="1"/>
  <c r="F152" i="1"/>
  <c r="AH152" i="1" s="1"/>
  <c r="I152" i="1"/>
  <c r="F156" i="1"/>
  <c r="AH156" i="1" s="1"/>
  <c r="I156" i="1"/>
  <c r="F160" i="1"/>
  <c r="AH160" i="1" s="1"/>
  <c r="I160" i="1"/>
  <c r="F164" i="1"/>
  <c r="AH164" i="1" s="1"/>
  <c r="I164" i="1"/>
  <c r="F168" i="1"/>
  <c r="AH168" i="1" s="1"/>
  <c r="I168" i="1"/>
  <c r="I172" i="1"/>
  <c r="F176" i="1"/>
  <c r="AH176" i="1" s="1"/>
  <c r="I176" i="1"/>
  <c r="F180" i="1"/>
  <c r="AH180" i="1" s="1"/>
  <c r="I180" i="1"/>
  <c r="E184" i="1"/>
  <c r="I184" i="1"/>
  <c r="F188" i="1"/>
  <c r="AH188" i="1" s="1"/>
  <c r="I188" i="1"/>
  <c r="F192" i="1"/>
  <c r="AH192" i="1" s="1"/>
  <c r="I192" i="1"/>
  <c r="F196" i="1"/>
  <c r="AH196" i="1" s="1"/>
  <c r="I196" i="1"/>
  <c r="F200" i="1"/>
  <c r="AH200" i="1" s="1"/>
  <c r="I200" i="1"/>
  <c r="F4" i="1"/>
  <c r="AH4" i="1" s="1"/>
  <c r="I4" i="1"/>
  <c r="I3" i="1"/>
  <c r="I7" i="1"/>
  <c r="F11" i="1"/>
  <c r="AH11" i="1" s="1"/>
  <c r="I11" i="1"/>
  <c r="I15" i="1"/>
  <c r="E19" i="1"/>
  <c r="BH19" i="1" s="1"/>
  <c r="I19" i="1"/>
  <c r="I23" i="1"/>
  <c r="F27" i="1"/>
  <c r="AH27" i="1" s="1"/>
  <c r="I27" i="1"/>
  <c r="F31" i="1"/>
  <c r="AH31" i="1" s="1"/>
  <c r="I31" i="1"/>
  <c r="F35" i="1"/>
  <c r="AH35" i="1" s="1"/>
  <c r="I35" i="1"/>
  <c r="I39" i="1"/>
  <c r="F43" i="1"/>
  <c r="AH43" i="1" s="1"/>
  <c r="I43" i="1"/>
  <c r="F47" i="1"/>
  <c r="AH47" i="1" s="1"/>
  <c r="I47" i="1"/>
  <c r="F51" i="1"/>
  <c r="AH51" i="1" s="1"/>
  <c r="I51" i="1"/>
  <c r="E55" i="1"/>
  <c r="BH55" i="1" s="1"/>
  <c r="I55" i="1"/>
  <c r="F59" i="1"/>
  <c r="AH59" i="1" s="1"/>
  <c r="I59" i="1"/>
  <c r="F63" i="1"/>
  <c r="AH63" i="1" s="1"/>
  <c r="I63" i="1"/>
  <c r="I67" i="1"/>
  <c r="F71" i="1"/>
  <c r="AH71" i="1" s="1"/>
  <c r="I71" i="1"/>
  <c r="I75" i="1"/>
  <c r="F79" i="1"/>
  <c r="AH79" i="1" s="1"/>
  <c r="I79" i="1"/>
  <c r="F83" i="1"/>
  <c r="AH83" i="1" s="1"/>
  <c r="I83" i="1"/>
  <c r="E87" i="1"/>
  <c r="BH87" i="1" s="1"/>
  <c r="I87" i="1"/>
  <c r="I91" i="1"/>
  <c r="E95" i="1"/>
  <c r="BH95" i="1" s="1"/>
  <c r="I95" i="1"/>
  <c r="F99" i="1"/>
  <c r="AH99" i="1" s="1"/>
  <c r="I99" i="1"/>
  <c r="F103" i="1"/>
  <c r="AH103" i="1" s="1"/>
  <c r="I103" i="1"/>
  <c r="E107" i="1"/>
  <c r="I107" i="1"/>
  <c r="F111" i="1"/>
  <c r="AH111" i="1" s="1"/>
  <c r="I111" i="1"/>
  <c r="I115" i="1"/>
  <c r="E119" i="1"/>
  <c r="I119" i="1"/>
  <c r="I123" i="1"/>
  <c r="E127" i="1"/>
  <c r="I127" i="1"/>
  <c r="F131" i="1"/>
  <c r="AH131" i="1" s="1"/>
  <c r="I131" i="1"/>
  <c r="F135" i="1"/>
  <c r="AH135" i="1" s="1"/>
  <c r="I135" i="1"/>
  <c r="E139" i="1"/>
  <c r="I139" i="1"/>
  <c r="F143" i="1"/>
  <c r="AH143" i="1" s="1"/>
  <c r="I143" i="1"/>
  <c r="F147" i="1"/>
  <c r="AH147" i="1" s="1"/>
  <c r="I147" i="1"/>
  <c r="F151" i="1"/>
  <c r="AH151" i="1" s="1"/>
  <c r="I151" i="1"/>
  <c r="F155" i="1"/>
  <c r="AH155" i="1" s="1"/>
  <c r="I155" i="1"/>
  <c r="F159" i="1"/>
  <c r="AH159" i="1" s="1"/>
  <c r="I159" i="1"/>
  <c r="F163" i="1"/>
  <c r="AH163" i="1" s="1"/>
  <c r="I163" i="1"/>
  <c r="F167" i="1"/>
  <c r="AH167" i="1" s="1"/>
  <c r="I167" i="1"/>
  <c r="F171" i="1"/>
  <c r="AH171" i="1" s="1"/>
  <c r="I171" i="1"/>
  <c r="F175" i="1"/>
  <c r="AH175" i="1" s="1"/>
  <c r="I175" i="1"/>
  <c r="F179" i="1"/>
  <c r="AH179" i="1" s="1"/>
  <c r="I179" i="1"/>
  <c r="E183" i="1"/>
  <c r="BH183" i="1" s="1"/>
  <c r="I183" i="1"/>
  <c r="F187" i="1"/>
  <c r="AH187" i="1" s="1"/>
  <c r="I187" i="1"/>
  <c r="F191" i="1"/>
  <c r="AH191" i="1" s="1"/>
  <c r="I191" i="1"/>
  <c r="F195" i="1"/>
  <c r="AH195" i="1" s="1"/>
  <c r="I195" i="1"/>
  <c r="E199" i="1"/>
  <c r="I199" i="1"/>
  <c r="L202" i="1"/>
  <c r="I203" i="1"/>
  <c r="I204" i="1"/>
  <c r="I205" i="1"/>
  <c r="I206" i="1"/>
  <c r="I202" i="1"/>
  <c r="BN182" i="1"/>
  <c r="BN20" i="1"/>
  <c r="BN24" i="1"/>
  <c r="BN32" i="1"/>
  <c r="BN36" i="1"/>
  <c r="CH37" i="1"/>
  <c r="CK37" i="1" s="1"/>
  <c r="BN48" i="1"/>
  <c r="CH45" i="1"/>
  <c r="CK45" i="1" s="1"/>
  <c r="BN56" i="1"/>
  <c r="CH53" i="1"/>
  <c r="CK53" i="1" s="1"/>
  <c r="BN64" i="1"/>
  <c r="CH69" i="1"/>
  <c r="CK69" i="1" s="1"/>
  <c r="BN80" i="1"/>
  <c r="CH85" i="1"/>
  <c r="CK85" i="1" s="1"/>
  <c r="BN96" i="1"/>
  <c r="CH89" i="1"/>
  <c r="CK89" i="1" s="1"/>
  <c r="BN100" i="1"/>
  <c r="CH121" i="1"/>
  <c r="CK121" i="1" s="1"/>
  <c r="BN132" i="1"/>
  <c r="CH133" i="1"/>
  <c r="CK133" i="1" s="1"/>
  <c r="BN144" i="1"/>
  <c r="CH145" i="1"/>
  <c r="CK145" i="1" s="1"/>
  <c r="BN156" i="1"/>
  <c r="CH165" i="1"/>
  <c r="CK165" i="1" s="1"/>
  <c r="BN176" i="1"/>
  <c r="CH4" i="1"/>
  <c r="CK4" i="1" s="1"/>
  <c r="BN15" i="1"/>
  <c r="CH8" i="1"/>
  <c r="CK8" i="1" s="1"/>
  <c r="BN19" i="1"/>
  <c r="CH20" i="1"/>
  <c r="CK20" i="1" s="1"/>
  <c r="BN31" i="1"/>
  <c r="CH28" i="1"/>
  <c r="CK28" i="1" s="1"/>
  <c r="BN39" i="1"/>
  <c r="CH32" i="1"/>
  <c r="CK32" i="1" s="1"/>
  <c r="BN43" i="1"/>
  <c r="CH36" i="1"/>
  <c r="CK36" i="1" s="1"/>
  <c r="BN47" i="1"/>
  <c r="CH40" i="1"/>
  <c r="CK40" i="1" s="1"/>
  <c r="BN51" i="1"/>
  <c r="CH44" i="1"/>
  <c r="CK44" i="1" s="1"/>
  <c r="BN55" i="1"/>
  <c r="CH48" i="1"/>
  <c r="CK48" i="1" s="1"/>
  <c r="BN59" i="1"/>
  <c r="CH52" i="1"/>
  <c r="CK52" i="1" s="1"/>
  <c r="BN63" i="1"/>
  <c r="CH56" i="1"/>
  <c r="CK56" i="1" s="1"/>
  <c r="BN67" i="1"/>
  <c r="CH60" i="1"/>
  <c r="CK60" i="1" s="1"/>
  <c r="BN71" i="1"/>
  <c r="CH64" i="1"/>
  <c r="CK64" i="1" s="1"/>
  <c r="BN75" i="1"/>
  <c r="CH68" i="1"/>
  <c r="CK68" i="1" s="1"/>
  <c r="BN79" i="1"/>
  <c r="CH72" i="1"/>
  <c r="CK72" i="1" s="1"/>
  <c r="BN83" i="1"/>
  <c r="CH76" i="1"/>
  <c r="CK76" i="1" s="1"/>
  <c r="BN87" i="1"/>
  <c r="CH80" i="1"/>
  <c r="CK80" i="1" s="1"/>
  <c r="BN91" i="1"/>
  <c r="CH84" i="1"/>
  <c r="CK84" i="1" s="1"/>
  <c r="BN95" i="1"/>
  <c r="CH88" i="1"/>
  <c r="CK88" i="1" s="1"/>
  <c r="BN99" i="1"/>
  <c r="CH92" i="1"/>
  <c r="CK92" i="1" s="1"/>
  <c r="BN103" i="1"/>
  <c r="CH96" i="1"/>
  <c r="CK96" i="1" s="1"/>
  <c r="BN107" i="1"/>
  <c r="CH100" i="1"/>
  <c r="CK100" i="1" s="1"/>
  <c r="BN111" i="1"/>
  <c r="CH104" i="1"/>
  <c r="CK104" i="1" s="1"/>
  <c r="BN115" i="1"/>
  <c r="CH108" i="1"/>
  <c r="CK108" i="1" s="1"/>
  <c r="BN119" i="1"/>
  <c r="CH112" i="1"/>
  <c r="CK112" i="1" s="1"/>
  <c r="BN123" i="1"/>
  <c r="CH116" i="1"/>
  <c r="CK116" i="1" s="1"/>
  <c r="BN127" i="1"/>
  <c r="CH120" i="1"/>
  <c r="CK120" i="1" s="1"/>
  <c r="BN131" i="1"/>
  <c r="CH124" i="1"/>
  <c r="CK124" i="1" s="1"/>
  <c r="BN135" i="1"/>
  <c r="CH128" i="1"/>
  <c r="CK128" i="1" s="1"/>
  <c r="BN139" i="1"/>
  <c r="CH132" i="1"/>
  <c r="CK132" i="1" s="1"/>
  <c r="BN143" i="1"/>
  <c r="CH136" i="1"/>
  <c r="CK136" i="1" s="1"/>
  <c r="BN147" i="1"/>
  <c r="CH140" i="1"/>
  <c r="CK140" i="1" s="1"/>
  <c r="BN151" i="1"/>
  <c r="CH144" i="1"/>
  <c r="CK144" i="1" s="1"/>
  <c r="BN155" i="1"/>
  <c r="CH148" i="1"/>
  <c r="CK148" i="1" s="1"/>
  <c r="BN159" i="1"/>
  <c r="CH152" i="1"/>
  <c r="CK152" i="1" s="1"/>
  <c r="BN163" i="1"/>
  <c r="CH156" i="1"/>
  <c r="CK156" i="1" s="1"/>
  <c r="BN167" i="1"/>
  <c r="CH160" i="1"/>
  <c r="CK160" i="1" s="1"/>
  <c r="BN171" i="1"/>
  <c r="CH164" i="1"/>
  <c r="CK164" i="1" s="1"/>
  <c r="BN175" i="1"/>
  <c r="CH172" i="1"/>
  <c r="CK172" i="1" s="1"/>
  <c r="BN183" i="1"/>
  <c r="CH176" i="1"/>
  <c r="CK176" i="1" s="1"/>
  <c r="BN187" i="1"/>
  <c r="CH180" i="1"/>
  <c r="CK180" i="1" s="1"/>
  <c r="BN191" i="1"/>
  <c r="CH184" i="1"/>
  <c r="CK184" i="1" s="1"/>
  <c r="BN195" i="1"/>
  <c r="CH188" i="1"/>
  <c r="CK188" i="1" s="1"/>
  <c r="BN199" i="1"/>
  <c r="CH57" i="1"/>
  <c r="BN68" i="1"/>
  <c r="CH101" i="1"/>
  <c r="CK101" i="1" s="1"/>
  <c r="BN112" i="1"/>
  <c r="CH117" i="1"/>
  <c r="CK117" i="1" s="1"/>
  <c r="BN128" i="1"/>
  <c r="CH12" i="1"/>
  <c r="CK12" i="1" s="1"/>
  <c r="BN23" i="1"/>
  <c r="CH16" i="1"/>
  <c r="CK16" i="1" s="1"/>
  <c r="BN27" i="1"/>
  <c r="CH24" i="1"/>
  <c r="CK24" i="1" s="1"/>
  <c r="BN35" i="1"/>
  <c r="CC10" i="1"/>
  <c r="CH33" i="1"/>
  <c r="CK33" i="1" s="1"/>
  <c r="BN44" i="1"/>
  <c r="CH93" i="1"/>
  <c r="CK93" i="1" s="1"/>
  <c r="BN104" i="1"/>
  <c r="CH15" i="1"/>
  <c r="CK15" i="1" s="1"/>
  <c r="BN26" i="1"/>
  <c r="CH55" i="1"/>
  <c r="CK55" i="1" s="1"/>
  <c r="BN66" i="1"/>
  <c r="CH67" i="1"/>
  <c r="CK67" i="1" s="1"/>
  <c r="BN78" i="1"/>
  <c r="CH71" i="1"/>
  <c r="CK71" i="1" s="1"/>
  <c r="BN82" i="1"/>
  <c r="CH75" i="1"/>
  <c r="CK75" i="1" s="1"/>
  <c r="BN86" i="1"/>
  <c r="CH79" i="1"/>
  <c r="CK79" i="1" s="1"/>
  <c r="BN90" i="1"/>
  <c r="CH83" i="1"/>
  <c r="CK83" i="1" s="1"/>
  <c r="BN94" i="1"/>
  <c r="CH87" i="1"/>
  <c r="CK87" i="1" s="1"/>
  <c r="BN98" i="1"/>
  <c r="CH91" i="1"/>
  <c r="CK91" i="1" s="1"/>
  <c r="BN102" i="1"/>
  <c r="CH95" i="1"/>
  <c r="CK95" i="1" s="1"/>
  <c r="BN106" i="1"/>
  <c r="CH99" i="1"/>
  <c r="CK99" i="1" s="1"/>
  <c r="BN110" i="1"/>
  <c r="CH103" i="1"/>
  <c r="CK103" i="1" s="1"/>
  <c r="BN114" i="1"/>
  <c r="CH107" i="1"/>
  <c r="CK107" i="1" s="1"/>
  <c r="BN118" i="1"/>
  <c r="CH111" i="1"/>
  <c r="CK111" i="1" s="1"/>
  <c r="BN122" i="1"/>
  <c r="BN126" i="1"/>
  <c r="CH119" i="1"/>
  <c r="CK119" i="1" s="1"/>
  <c r="BN130" i="1"/>
  <c r="CH123" i="1"/>
  <c r="CK123" i="1" s="1"/>
  <c r="BN134" i="1"/>
  <c r="CH127" i="1"/>
  <c r="CK127" i="1" s="1"/>
  <c r="BN138" i="1"/>
  <c r="CH131" i="1"/>
  <c r="CK131" i="1" s="1"/>
  <c r="BN142" i="1"/>
  <c r="CH135" i="1"/>
  <c r="CK135" i="1" s="1"/>
  <c r="BN146" i="1"/>
  <c r="CH139" i="1"/>
  <c r="CK139" i="1" s="1"/>
  <c r="BN150" i="1"/>
  <c r="BN154" i="1"/>
  <c r="CH147" i="1"/>
  <c r="CK147" i="1" s="1"/>
  <c r="BN158" i="1"/>
  <c r="CH151" i="1"/>
  <c r="CK151" i="1" s="1"/>
  <c r="BN162" i="1"/>
  <c r="CH155" i="1"/>
  <c r="CK155" i="1" s="1"/>
  <c r="BN166" i="1"/>
  <c r="CH159" i="1"/>
  <c r="CK159" i="1" s="1"/>
  <c r="BN170" i="1"/>
  <c r="CH163" i="1"/>
  <c r="CK163" i="1" s="1"/>
  <c r="BN174" i="1"/>
  <c r="CH167" i="1"/>
  <c r="CK167" i="1" s="1"/>
  <c r="BN178" i="1"/>
  <c r="CH175" i="1"/>
  <c r="CK175" i="1" s="1"/>
  <c r="BN186" i="1"/>
  <c r="CH179" i="1"/>
  <c r="CK179" i="1" s="1"/>
  <c r="BN190" i="1"/>
  <c r="CH183" i="1"/>
  <c r="CK183" i="1" s="1"/>
  <c r="BN194" i="1"/>
  <c r="CH187" i="1"/>
  <c r="CK187" i="1" s="1"/>
  <c r="BN198" i="1"/>
  <c r="CH109" i="1"/>
  <c r="CK109" i="1" s="1"/>
  <c r="BN120" i="1"/>
  <c r="BN14" i="1"/>
  <c r="CH27" i="1"/>
  <c r="CK27" i="1" s="1"/>
  <c r="BN38" i="1"/>
  <c r="CH31" i="1"/>
  <c r="CK31" i="1" s="1"/>
  <c r="BN42" i="1"/>
  <c r="CH39" i="1"/>
  <c r="CK39" i="1" s="1"/>
  <c r="BN50" i="1"/>
  <c r="CH43" i="1"/>
  <c r="BN54" i="1"/>
  <c r="CH47" i="1"/>
  <c r="CK47" i="1" s="1"/>
  <c r="BN58" i="1"/>
  <c r="CH51" i="1"/>
  <c r="CK51" i="1" s="1"/>
  <c r="BN62" i="1"/>
  <c r="CH63" i="1"/>
  <c r="CK63" i="1" s="1"/>
  <c r="BN74" i="1"/>
  <c r="CH5" i="1"/>
  <c r="CK5" i="1" s="1"/>
  <c r="BN16" i="1"/>
  <c r="CH29" i="1"/>
  <c r="CK29" i="1" s="1"/>
  <c r="BN40" i="1"/>
  <c r="CH61" i="1"/>
  <c r="CK61" i="1" s="1"/>
  <c r="BN72" i="1"/>
  <c r="CH65" i="1"/>
  <c r="CK65" i="1" s="1"/>
  <c r="BN76" i="1"/>
  <c r="CH77" i="1"/>
  <c r="CK77" i="1" s="1"/>
  <c r="BN88" i="1"/>
  <c r="CH81" i="1"/>
  <c r="CK81" i="1" s="1"/>
  <c r="BN92" i="1"/>
  <c r="CH113" i="1"/>
  <c r="CK113" i="1" s="1"/>
  <c r="BN124" i="1"/>
  <c r="CH19" i="1"/>
  <c r="CK19" i="1" s="1"/>
  <c r="BN30" i="1"/>
  <c r="CH6" i="1"/>
  <c r="CK6" i="1" s="1"/>
  <c r="BN17" i="1"/>
  <c r="CH10" i="1"/>
  <c r="CK10" i="1" s="1"/>
  <c r="BN21" i="1"/>
  <c r="CH18" i="1"/>
  <c r="CK18" i="1" s="1"/>
  <c r="BN29" i="1"/>
  <c r="CH30" i="1"/>
  <c r="CK30" i="1" s="1"/>
  <c r="BN41" i="1"/>
  <c r="CH34" i="1"/>
  <c r="CK34" i="1" s="1"/>
  <c r="BN45" i="1"/>
  <c r="CH38" i="1"/>
  <c r="CK38" i="1" s="1"/>
  <c r="BN49" i="1"/>
  <c r="CH42" i="1"/>
  <c r="CK42" i="1" s="1"/>
  <c r="BN53" i="1"/>
  <c r="CH46" i="1"/>
  <c r="CK46" i="1" s="1"/>
  <c r="BN57" i="1"/>
  <c r="CH50" i="1"/>
  <c r="CK50" i="1" s="1"/>
  <c r="BN61" i="1"/>
  <c r="CH54" i="1"/>
  <c r="CK54" i="1" s="1"/>
  <c r="BN65" i="1"/>
  <c r="CH58" i="1"/>
  <c r="CK58" i="1" s="1"/>
  <c r="BN69" i="1"/>
  <c r="CH62" i="1"/>
  <c r="CK62" i="1" s="1"/>
  <c r="BN73" i="1"/>
  <c r="CH66" i="1"/>
  <c r="CK66" i="1" s="1"/>
  <c r="BN77" i="1"/>
  <c r="CH70" i="1"/>
  <c r="CK70" i="1" s="1"/>
  <c r="BN81" i="1"/>
  <c r="CH74" i="1"/>
  <c r="CK74" i="1" s="1"/>
  <c r="BN85" i="1"/>
  <c r="CH78" i="1"/>
  <c r="CK78" i="1" s="1"/>
  <c r="BN89" i="1"/>
  <c r="CH82" i="1"/>
  <c r="CK82" i="1" s="1"/>
  <c r="BN93" i="1"/>
  <c r="CH86" i="1"/>
  <c r="CK86" i="1" s="1"/>
  <c r="BN97" i="1"/>
  <c r="CH90" i="1"/>
  <c r="CK90" i="1" s="1"/>
  <c r="BN101" i="1"/>
  <c r="CH94" i="1"/>
  <c r="CK94" i="1" s="1"/>
  <c r="BN105" i="1"/>
  <c r="CH98" i="1"/>
  <c r="CK98" i="1" s="1"/>
  <c r="BN109" i="1"/>
  <c r="CH102" i="1"/>
  <c r="CK102" i="1" s="1"/>
  <c r="BN113" i="1"/>
  <c r="CH106" i="1"/>
  <c r="CK106" i="1" s="1"/>
  <c r="BN117" i="1"/>
  <c r="CH110" i="1"/>
  <c r="CK110" i="1" s="1"/>
  <c r="BN121" i="1"/>
  <c r="BN125" i="1"/>
  <c r="CH118" i="1"/>
  <c r="CK118" i="1" s="1"/>
  <c r="BN129" i="1"/>
  <c r="BN133" i="1"/>
  <c r="CH126" i="1"/>
  <c r="CK126" i="1" s="1"/>
  <c r="BN137" i="1"/>
  <c r="CH130" i="1"/>
  <c r="CK130" i="1" s="1"/>
  <c r="BN141" i="1"/>
  <c r="CH134" i="1"/>
  <c r="CK134" i="1" s="1"/>
  <c r="BN145" i="1"/>
  <c r="CH138" i="1"/>
  <c r="CK138" i="1" s="1"/>
  <c r="BN149" i="1"/>
  <c r="CH142" i="1"/>
  <c r="CK142" i="1" s="1"/>
  <c r="BN153" i="1"/>
  <c r="CH146" i="1"/>
  <c r="CK146" i="1" s="1"/>
  <c r="BN157" i="1"/>
  <c r="CH150" i="1"/>
  <c r="CK150" i="1" s="1"/>
  <c r="BN161" i="1"/>
  <c r="CH154" i="1"/>
  <c r="CK154" i="1" s="1"/>
  <c r="BN165" i="1"/>
  <c r="CH158" i="1"/>
  <c r="CK158" i="1" s="1"/>
  <c r="BN169" i="1"/>
  <c r="CH162" i="1"/>
  <c r="CK162" i="1" s="1"/>
  <c r="BN173" i="1"/>
  <c r="BN177" i="1"/>
  <c r="CH170" i="1"/>
  <c r="CK170" i="1" s="1"/>
  <c r="BN181" i="1"/>
  <c r="CH174" i="1"/>
  <c r="CK174" i="1" s="1"/>
  <c r="BN185" i="1"/>
  <c r="CH178" i="1"/>
  <c r="CK178" i="1" s="1"/>
  <c r="BN189" i="1"/>
  <c r="CH182" i="1"/>
  <c r="CK182" i="1" s="1"/>
  <c r="BN193" i="1"/>
  <c r="CH186" i="1"/>
  <c r="CK186" i="1" s="1"/>
  <c r="BN197" i="1"/>
  <c r="CH190" i="1"/>
  <c r="CK190" i="1" s="1"/>
  <c r="BN201" i="1"/>
  <c r="CH41" i="1"/>
  <c r="CK41" i="1" s="1"/>
  <c r="BN52" i="1"/>
  <c r="CH7" i="1"/>
  <c r="CK7" i="1" s="1"/>
  <c r="BN18" i="1"/>
  <c r="BN22" i="1"/>
  <c r="CH23" i="1"/>
  <c r="CK23" i="1" s="1"/>
  <c r="BN34" i="1"/>
  <c r="CH35" i="1"/>
  <c r="CK35" i="1" s="1"/>
  <c r="BN46" i="1"/>
  <c r="CH59" i="1"/>
  <c r="CK59" i="1" s="1"/>
  <c r="BN70" i="1"/>
  <c r="CH14" i="1"/>
  <c r="CK14" i="1" s="1"/>
  <c r="BN25" i="1"/>
  <c r="CH22" i="1"/>
  <c r="BN33" i="1"/>
  <c r="BQ33" i="1" s="1"/>
  <c r="BN37" i="1"/>
  <c r="BS8" i="1"/>
  <c r="CH17" i="1"/>
  <c r="CK17" i="1" s="1"/>
  <c r="BN28" i="1"/>
  <c r="CH97" i="1"/>
  <c r="CK97" i="1" s="1"/>
  <c r="BN108" i="1"/>
  <c r="CH105" i="1"/>
  <c r="CK105" i="1" s="1"/>
  <c r="BN116" i="1"/>
  <c r="CH129" i="1"/>
  <c r="CK129" i="1" s="1"/>
  <c r="BN140" i="1"/>
  <c r="CH141" i="1"/>
  <c r="CK141" i="1" s="1"/>
  <c r="BN152" i="1"/>
  <c r="CH149" i="1"/>
  <c r="CK149" i="1" s="1"/>
  <c r="BN160" i="1"/>
  <c r="CH161" i="1"/>
  <c r="CK161" i="1" s="1"/>
  <c r="BN172" i="1"/>
  <c r="CH169" i="1"/>
  <c r="CK169" i="1" s="1"/>
  <c r="BN180" i="1"/>
  <c r="CH173" i="1"/>
  <c r="CK173" i="1" s="1"/>
  <c r="BN184" i="1"/>
  <c r="CH177" i="1"/>
  <c r="CK177" i="1" s="1"/>
  <c r="BN188" i="1"/>
  <c r="CH181" i="1"/>
  <c r="CK181" i="1" s="1"/>
  <c r="BN192" i="1"/>
  <c r="CH185" i="1"/>
  <c r="CK185" i="1" s="1"/>
  <c r="BN196" i="1"/>
  <c r="CH189" i="1"/>
  <c r="CK189" i="1" s="1"/>
  <c r="BN200" i="1"/>
  <c r="CH49" i="1"/>
  <c r="CK49" i="1" s="1"/>
  <c r="BN60" i="1"/>
  <c r="CH73" i="1"/>
  <c r="CK73" i="1" s="1"/>
  <c r="BN84" i="1"/>
  <c r="CH125" i="1"/>
  <c r="CK125" i="1" s="1"/>
  <c r="BN136" i="1"/>
  <c r="CH137" i="1"/>
  <c r="CK137" i="1" s="1"/>
  <c r="BN148" i="1"/>
  <c r="CH153" i="1"/>
  <c r="CK153" i="1" s="1"/>
  <c r="BN164" i="1"/>
  <c r="BN168" i="1"/>
  <c r="BN202" i="1"/>
  <c r="BQ214" i="1" s="1"/>
  <c r="BN203" i="1"/>
  <c r="BN207" i="1"/>
  <c r="BN204" i="1"/>
  <c r="BN205" i="1"/>
  <c r="BN206" i="1"/>
  <c r="BV202" i="1"/>
  <c r="BV203" i="1"/>
  <c r="BV204" i="1"/>
  <c r="BV205" i="1"/>
  <c r="BV206" i="1"/>
  <c r="BV207" i="1"/>
  <c r="CF202" i="1"/>
  <c r="CG202" i="1" s="1"/>
  <c r="BZ202" i="1"/>
  <c r="AS202" i="1"/>
  <c r="AS203" i="1"/>
  <c r="AV203" i="1" s="1"/>
  <c r="AS204" i="1"/>
  <c r="AV204" i="1" s="1"/>
  <c r="AS205" i="1"/>
  <c r="AV205" i="1" s="1"/>
  <c r="AS206" i="1"/>
  <c r="AV206" i="1" s="1"/>
  <c r="AS207" i="1"/>
  <c r="AV207" i="1" s="1"/>
  <c r="J206" i="1"/>
  <c r="M206" i="1" s="1"/>
  <c r="J207" i="1"/>
  <c r="M207" i="1" s="1"/>
  <c r="J203" i="1"/>
  <c r="M203" i="1" s="1"/>
  <c r="J202" i="1"/>
  <c r="M202" i="1" s="1"/>
  <c r="J204" i="1"/>
  <c r="M204" i="1" s="1"/>
  <c r="J205" i="1"/>
  <c r="M205" i="1" s="1"/>
  <c r="Q202" i="1"/>
  <c r="T202" i="1" s="1"/>
  <c r="Q203" i="1"/>
  <c r="T203" i="1" s="1"/>
  <c r="Q204" i="1"/>
  <c r="T204" i="1" s="1"/>
  <c r="Q206" i="1"/>
  <c r="T206" i="1" s="1"/>
  <c r="Q207" i="1"/>
  <c r="T207" i="1" s="1"/>
  <c r="Q205" i="1"/>
  <c r="T205" i="1" s="1"/>
  <c r="E71" i="1"/>
  <c r="F77" i="1"/>
  <c r="AH77" i="1" s="1"/>
  <c r="F32" i="1"/>
  <c r="AH32" i="1" s="1"/>
  <c r="F5" i="1"/>
  <c r="AH5" i="1" s="1"/>
  <c r="F19" i="1"/>
  <c r="AH19" i="1" s="1"/>
  <c r="E41" i="1"/>
  <c r="BH41" i="1" s="1"/>
  <c r="E47" i="1"/>
  <c r="BH47" i="1" s="1"/>
  <c r="E135" i="1"/>
  <c r="E149" i="1"/>
  <c r="E51" i="1"/>
  <c r="F65" i="1"/>
  <c r="AH65" i="1" s="1"/>
  <c r="E103" i="1"/>
  <c r="E141" i="1"/>
  <c r="F162" i="1"/>
  <c r="AH162" i="1" s="1"/>
  <c r="E54" i="1"/>
  <c r="BH54" i="1" s="1"/>
  <c r="F66" i="1"/>
  <c r="AH66" i="1" s="1"/>
  <c r="E25" i="1"/>
  <c r="F134" i="1"/>
  <c r="AH134" i="1" s="1"/>
  <c r="E156" i="1"/>
  <c r="E33" i="1"/>
  <c r="BH33" i="1" s="1"/>
  <c r="E56" i="1"/>
  <c r="BH56" i="1" s="1"/>
  <c r="E85" i="1"/>
  <c r="E105" i="1"/>
  <c r="E111" i="1"/>
  <c r="F181" i="1"/>
  <c r="AH181" i="1" s="1"/>
  <c r="E48" i="1"/>
  <c r="BH48" i="1" s="1"/>
  <c r="F197" i="1"/>
  <c r="AH197" i="1" s="1"/>
  <c r="E11" i="1"/>
  <c r="BH11" i="1" s="1"/>
  <c r="E20" i="1"/>
  <c r="F148" i="1"/>
  <c r="AH148" i="1" s="1"/>
  <c r="F36" i="1"/>
  <c r="AH36" i="1" s="1"/>
  <c r="E36" i="1"/>
  <c r="BH36" i="1" s="1"/>
  <c r="F70" i="1"/>
  <c r="AH70" i="1" s="1"/>
  <c r="E70" i="1"/>
  <c r="BH70" i="1" s="1"/>
  <c r="E9" i="1"/>
  <c r="F22" i="1"/>
  <c r="E22" i="1"/>
  <c r="E28" i="1"/>
  <c r="E16" i="1"/>
  <c r="BH16" i="1" s="1"/>
  <c r="F16" i="1"/>
  <c r="AH16" i="1" s="1"/>
  <c r="E38" i="1"/>
  <c r="E59" i="1"/>
  <c r="F117" i="1"/>
  <c r="AH117" i="1" s="1"/>
  <c r="E117" i="1"/>
  <c r="BH117" i="1" s="1"/>
  <c r="F13" i="1"/>
  <c r="AH13" i="1" s="1"/>
  <c r="E13" i="1"/>
  <c r="BH13" i="1" s="1"/>
  <c r="F80" i="1"/>
  <c r="AH80" i="1" s="1"/>
  <c r="E80" i="1"/>
  <c r="F18" i="1"/>
  <c r="AH18" i="1" s="1"/>
  <c r="E18" i="1"/>
  <c r="E14" i="1"/>
  <c r="F76" i="1"/>
  <c r="AH76" i="1" s="1"/>
  <c r="E76" i="1"/>
  <c r="BH76" i="1" s="1"/>
  <c r="E26" i="1"/>
  <c r="F26" i="1"/>
  <c r="AH26" i="1" s="1"/>
  <c r="E121" i="1"/>
  <c r="F121" i="1"/>
  <c r="AH121" i="1" s="1"/>
  <c r="E75" i="1"/>
  <c r="F75" i="1"/>
  <c r="AH75" i="1" s="1"/>
  <c r="E27" i="1"/>
  <c r="E182" i="1"/>
  <c r="BH182" i="1" s="1"/>
  <c r="F183" i="1"/>
  <c r="AH183" i="1" s="1"/>
  <c r="F199" i="1"/>
  <c r="AH199" i="1" s="1"/>
  <c r="F107" i="1"/>
  <c r="AH107" i="1" s="1"/>
  <c r="E110" i="1"/>
  <c r="E113" i="1"/>
  <c r="BH113" i="1" s="1"/>
  <c r="E114" i="1"/>
  <c r="BH114" i="1" s="1"/>
  <c r="E158" i="1"/>
  <c r="F185" i="1"/>
  <c r="AH185" i="1" s="1"/>
  <c r="E67" i="1"/>
  <c r="F67" i="1"/>
  <c r="AH67" i="1" s="1"/>
  <c r="F193" i="1"/>
  <c r="AH193" i="1" s="1"/>
  <c r="E193" i="1"/>
  <c r="F78" i="1"/>
  <c r="AH78" i="1" s="1"/>
  <c r="E78" i="1"/>
  <c r="E170" i="1"/>
  <c r="F170" i="1"/>
  <c r="AH170" i="1" s="1"/>
  <c r="E136" i="1"/>
  <c r="F136" i="1"/>
  <c r="AH136" i="1" s="1"/>
  <c r="E169" i="1"/>
  <c r="BH169" i="1" s="1"/>
  <c r="F169" i="1"/>
  <c r="AH169" i="1" s="1"/>
  <c r="E189" i="1"/>
  <c r="F189" i="1"/>
  <c r="AH189" i="1" s="1"/>
  <c r="F57" i="1"/>
  <c r="E57" i="1"/>
  <c r="BH57" i="1" s="1"/>
  <c r="F91" i="1"/>
  <c r="AH91" i="1" s="1"/>
  <c r="E91" i="1"/>
  <c r="E123" i="1"/>
  <c r="F123" i="1"/>
  <c r="AH123" i="1" s="1"/>
  <c r="F15" i="1"/>
  <c r="AH15" i="1" s="1"/>
  <c r="E15" i="1"/>
  <c r="BH15" i="1" s="1"/>
  <c r="F23" i="1"/>
  <c r="E23" i="1"/>
  <c r="BH23" i="1" s="1"/>
  <c r="F115" i="1"/>
  <c r="E115" i="1"/>
  <c r="BH115" i="1" s="1"/>
  <c r="E194" i="1"/>
  <c r="BH194" i="1" s="1"/>
  <c r="F194" i="1"/>
  <c r="F49" i="1"/>
  <c r="E49" i="1"/>
  <c r="BH49" i="1" s="1"/>
  <c r="F88" i="1"/>
  <c r="AH88" i="1" s="1"/>
  <c r="E88" i="1"/>
  <c r="E178" i="1"/>
  <c r="F178" i="1"/>
  <c r="AH178" i="1" s="1"/>
  <c r="F93" i="1"/>
  <c r="E93" i="1"/>
  <c r="BH93" i="1" s="1"/>
  <c r="F39" i="1"/>
  <c r="E39" i="1"/>
  <c r="BH39" i="1" s="1"/>
  <c r="F3" i="1"/>
  <c r="AH3" i="1" s="1"/>
  <c r="F7" i="1"/>
  <c r="AH7" i="1" s="1"/>
  <c r="E7" i="1"/>
  <c r="E172" i="1"/>
  <c r="BH172" i="1" s="1"/>
  <c r="F172" i="1"/>
  <c r="AH172" i="1" s="1"/>
  <c r="AJ206" i="1"/>
  <c r="F40" i="1"/>
  <c r="AH40" i="1" s="1"/>
  <c r="E43" i="1"/>
  <c r="E50" i="1"/>
  <c r="E61" i="1"/>
  <c r="BH61" i="1" s="1"/>
  <c r="E63" i="1"/>
  <c r="BH63" i="1" s="1"/>
  <c r="E68" i="1"/>
  <c r="F72" i="1"/>
  <c r="AH72" i="1" s="1"/>
  <c r="E73" i="1"/>
  <c r="F95" i="1"/>
  <c r="E99" i="1"/>
  <c r="BH99" i="1" s="1"/>
  <c r="F118" i="1"/>
  <c r="AH118" i="1" s="1"/>
  <c r="E125" i="1"/>
  <c r="F142" i="1"/>
  <c r="AH142" i="1" s="1"/>
  <c r="E145" i="1"/>
  <c r="BH145" i="1" s="1"/>
  <c r="E151" i="1"/>
  <c r="E153" i="1"/>
  <c r="BH153" i="1" s="1"/>
  <c r="E154" i="1"/>
  <c r="E176" i="1"/>
  <c r="E188" i="1"/>
  <c r="F119" i="1"/>
  <c r="AH119" i="1" s="1"/>
  <c r="E126" i="1"/>
  <c r="E138" i="1"/>
  <c r="BH138" i="1" s="1"/>
  <c r="E173" i="1"/>
  <c r="BH173" i="1" s="1"/>
  <c r="E174" i="1"/>
  <c r="F177" i="1"/>
  <c r="AH177" i="1" s="1"/>
  <c r="F34" i="1"/>
  <c r="AH34" i="1" s="1"/>
  <c r="E44" i="1"/>
  <c r="BH44" i="1" s="1"/>
  <c r="E52" i="1"/>
  <c r="BH52" i="1" s="1"/>
  <c r="E53" i="1"/>
  <c r="BH53" i="1" s="1"/>
  <c r="E74" i="1"/>
  <c r="E100" i="1"/>
  <c r="E108" i="1"/>
  <c r="F127" i="1"/>
  <c r="AH127" i="1" s="1"/>
  <c r="E186" i="1"/>
  <c r="E191" i="1"/>
  <c r="BH191" i="1" s="1"/>
  <c r="E24" i="1"/>
  <c r="E35" i="1"/>
  <c r="E46" i="1"/>
  <c r="BH46" i="1" s="1"/>
  <c r="E102" i="1"/>
  <c r="E120" i="1"/>
  <c r="E130" i="1"/>
  <c r="F139" i="1"/>
  <c r="AH139" i="1" s="1"/>
  <c r="E140" i="1"/>
  <c r="E146" i="1"/>
  <c r="BH146" i="1" s="1"/>
  <c r="E4" i="1"/>
  <c r="BH4" i="1" s="1"/>
  <c r="F128" i="1"/>
  <c r="E133" i="1"/>
  <c r="F10" i="1"/>
  <c r="AH10" i="1" s="1"/>
  <c r="F12" i="1"/>
  <c r="AH12" i="1" s="1"/>
  <c r="F184" i="1"/>
  <c r="AH184" i="1" s="1"/>
  <c r="AO203" i="1"/>
  <c r="BD202" i="1"/>
  <c r="AJ205" i="1"/>
  <c r="CH3" i="1"/>
  <c r="CK3" i="1" s="1"/>
  <c r="F6" i="1"/>
  <c r="F8" i="1"/>
  <c r="AH8" i="1" s="1"/>
  <c r="E3" i="1"/>
  <c r="CH9" i="1"/>
  <c r="CK9" i="1" s="1"/>
  <c r="CH11" i="1"/>
  <c r="CK11" i="1" s="1"/>
  <c r="CH21" i="1"/>
  <c r="CK21" i="1" s="1"/>
  <c r="CH25" i="1"/>
  <c r="CK25" i="1" s="1"/>
  <c r="CH26" i="1"/>
  <c r="CK26" i="1" s="1"/>
  <c r="E37" i="1"/>
  <c r="E42" i="1"/>
  <c r="CH13" i="1"/>
  <c r="CK13" i="1" s="1"/>
  <c r="E17" i="1"/>
  <c r="E21" i="1"/>
  <c r="E29" i="1"/>
  <c r="E30" i="1"/>
  <c r="E31" i="1"/>
  <c r="E45" i="1"/>
  <c r="F55" i="1"/>
  <c r="F58" i="1"/>
  <c r="AH58" i="1" s="1"/>
  <c r="F60" i="1"/>
  <c r="AH60" i="1" s="1"/>
  <c r="F62" i="1"/>
  <c r="AH62" i="1" s="1"/>
  <c r="F64" i="1"/>
  <c r="F69" i="1"/>
  <c r="F82" i="1"/>
  <c r="AH82" i="1" s="1"/>
  <c r="F87" i="1"/>
  <c r="AD65" i="1"/>
  <c r="E90" i="1"/>
  <c r="BH90" i="1" s="1"/>
  <c r="F90" i="1"/>
  <c r="AH90" i="1" s="1"/>
  <c r="E79" i="1"/>
  <c r="E81" i="1"/>
  <c r="E83" i="1"/>
  <c r="E84" i="1"/>
  <c r="E86" i="1"/>
  <c r="E89" i="1"/>
  <c r="F89" i="1"/>
  <c r="F92" i="1"/>
  <c r="AH92" i="1" s="1"/>
  <c r="F94" i="1"/>
  <c r="AH94" i="1" s="1"/>
  <c r="F96" i="1"/>
  <c r="AH96" i="1" s="1"/>
  <c r="F97" i="1"/>
  <c r="F98" i="1"/>
  <c r="AH98" i="1" s="1"/>
  <c r="F101" i="1"/>
  <c r="F104" i="1"/>
  <c r="AH104" i="1" s="1"/>
  <c r="F106" i="1"/>
  <c r="AH106" i="1" s="1"/>
  <c r="F109" i="1"/>
  <c r="F112" i="1"/>
  <c r="AH112" i="1" s="1"/>
  <c r="F116" i="1"/>
  <c r="E116" i="1"/>
  <c r="CH114" i="1"/>
  <c r="CK114" i="1" s="1"/>
  <c r="CH115" i="1"/>
  <c r="CK115" i="1" s="1"/>
  <c r="E122" i="1"/>
  <c r="F124" i="1"/>
  <c r="F129" i="1"/>
  <c r="AH129" i="1" s="1"/>
  <c r="E131" i="1"/>
  <c r="E132" i="1"/>
  <c r="E137" i="1"/>
  <c r="E143" i="1"/>
  <c r="CH143" i="1"/>
  <c r="CK143" i="1" s="1"/>
  <c r="CH122" i="1"/>
  <c r="CK122" i="1" s="1"/>
  <c r="E144" i="1"/>
  <c r="E147" i="1"/>
  <c r="E150" i="1"/>
  <c r="E152" i="1"/>
  <c r="E155" i="1"/>
  <c r="E157" i="1"/>
  <c r="CH157" i="1"/>
  <c r="CK157" i="1" s="1"/>
  <c r="E161" i="1"/>
  <c r="E163" i="1"/>
  <c r="E164" i="1"/>
  <c r="CH166" i="1"/>
  <c r="CK166" i="1" s="1"/>
  <c r="E167" i="1"/>
  <c r="BH167" i="1" s="1"/>
  <c r="E168" i="1"/>
  <c r="CH168" i="1"/>
  <c r="CK168" i="1" s="1"/>
  <c r="E159" i="1"/>
  <c r="E160" i="1"/>
  <c r="E165" i="1"/>
  <c r="E166" i="1"/>
  <c r="CH171" i="1"/>
  <c r="CK171" i="1" s="1"/>
  <c r="E171" i="1"/>
  <c r="BH171" i="1" s="1"/>
  <c r="E175" i="1"/>
  <c r="E179" i="1"/>
  <c r="BH179" i="1" s="1"/>
  <c r="E180" i="1"/>
  <c r="E187" i="1"/>
  <c r="E190" i="1"/>
  <c r="E192" i="1"/>
  <c r="BH192" i="1" s="1"/>
  <c r="E200" i="1"/>
  <c r="E201" i="1"/>
  <c r="CH201" i="1"/>
  <c r="E195" i="1"/>
  <c r="E196" i="1"/>
  <c r="E198" i="1"/>
  <c r="E202" i="1"/>
  <c r="BH202" i="1" s="1"/>
  <c r="AJ204" i="1"/>
  <c r="AK204" i="1" s="1"/>
  <c r="H65" i="1"/>
  <c r="BR65" i="1"/>
  <c r="AF101" i="1"/>
  <c r="O106" i="1"/>
  <c r="AD106" i="1"/>
  <c r="AF106" i="1"/>
  <c r="BR106" i="1"/>
  <c r="AQ101" i="1"/>
  <c r="AQ106" i="1"/>
  <c r="AO202" i="1"/>
  <c r="CH202" i="1"/>
  <c r="CM214" i="1" s="1"/>
  <c r="O203" i="1"/>
  <c r="AD203" i="1"/>
  <c r="AQ203" i="1"/>
  <c r="BR203" i="1"/>
  <c r="H203" i="1"/>
  <c r="CP203" i="1"/>
  <c r="AF203" i="1"/>
  <c r="AH203" i="1"/>
  <c r="BQ68" i="1" l="1"/>
  <c r="BR97" i="1"/>
  <c r="AU36" i="1"/>
  <c r="O96" i="1"/>
  <c r="AD96" i="1"/>
  <c r="BQ213" i="1"/>
  <c r="BA202" i="1"/>
  <c r="BA18" i="1"/>
  <c r="S202" i="1"/>
  <c r="BA178" i="1"/>
  <c r="S208" i="1"/>
  <c r="S170" i="1"/>
  <c r="S138" i="1"/>
  <c r="S106" i="1"/>
  <c r="S74" i="1"/>
  <c r="S42" i="1"/>
  <c r="M214" i="1"/>
  <c r="BX214" i="1"/>
  <c r="CB214" i="1"/>
  <c r="BY213" i="1"/>
  <c r="K214" i="1"/>
  <c r="T214" i="1"/>
  <c r="AV202" i="1"/>
  <c r="AV214" i="1"/>
  <c r="BY202" i="1"/>
  <c r="BY214" i="1"/>
  <c r="BB202" i="1"/>
  <c r="BB214" i="1"/>
  <c r="AU214" i="1"/>
  <c r="BP214" i="1"/>
  <c r="BA214" i="1"/>
  <c r="S214" i="1"/>
  <c r="S212" i="1"/>
  <c r="BP202" i="1"/>
  <c r="BP213" i="1"/>
  <c r="S183" i="1"/>
  <c r="S151" i="1"/>
  <c r="S119" i="1"/>
  <c r="S87" i="1"/>
  <c r="S55" i="1"/>
  <c r="S23" i="1"/>
  <c r="BP204" i="1"/>
  <c r="BX213" i="1"/>
  <c r="CB213" i="1"/>
  <c r="CK201" i="1"/>
  <c r="CM213" i="1"/>
  <c r="S85" i="1"/>
  <c r="S53" i="1"/>
  <c r="S21" i="1"/>
  <c r="S154" i="1"/>
  <c r="S122" i="1"/>
  <c r="S90" i="1"/>
  <c r="S58" i="1"/>
  <c r="S26" i="1"/>
  <c r="BA213" i="1"/>
  <c r="CK202" i="1"/>
  <c r="CL213" i="1" s="1"/>
  <c r="CJ213" i="1"/>
  <c r="O58" i="1"/>
  <c r="S213" i="1"/>
  <c r="K213" i="1"/>
  <c r="AU213" i="1"/>
  <c r="BA22" i="1"/>
  <c r="BA194" i="1"/>
  <c r="CL133" i="1"/>
  <c r="S209" i="1"/>
  <c r="S166" i="1"/>
  <c r="S134" i="1"/>
  <c r="S102" i="1"/>
  <c r="CL168" i="1"/>
  <c r="CL154" i="1"/>
  <c r="CL188" i="1"/>
  <c r="CL108" i="1"/>
  <c r="CL109" i="1"/>
  <c r="CL93" i="1"/>
  <c r="CL77" i="1"/>
  <c r="BA199" i="1"/>
  <c r="BA167" i="1"/>
  <c r="BA135" i="1"/>
  <c r="BA103" i="1"/>
  <c r="BA71" i="1"/>
  <c r="BA39" i="1"/>
  <c r="CL193" i="1"/>
  <c r="S40" i="1"/>
  <c r="CL18" i="1"/>
  <c r="CL20" i="1"/>
  <c r="CL84" i="1"/>
  <c r="CL192" i="1"/>
  <c r="CL172" i="1"/>
  <c r="CL116" i="1"/>
  <c r="CM22" i="1"/>
  <c r="CK22" i="1"/>
  <c r="CL33" i="1" s="1"/>
  <c r="CL34" i="1"/>
  <c r="CL165" i="1"/>
  <c r="CL149" i="1"/>
  <c r="CL113" i="1"/>
  <c r="CL97" i="1"/>
  <c r="CL81" i="1"/>
  <c r="CL21" i="1"/>
  <c r="CL92" i="1"/>
  <c r="CL40" i="1"/>
  <c r="CL38" i="1"/>
  <c r="CL138" i="1"/>
  <c r="CL35" i="1"/>
  <c r="CL112" i="1"/>
  <c r="CL191" i="1"/>
  <c r="CL171" i="1"/>
  <c r="CL155" i="1"/>
  <c r="CL139" i="1"/>
  <c r="CL123" i="1"/>
  <c r="CL107" i="1"/>
  <c r="CL91" i="1"/>
  <c r="CL75" i="1"/>
  <c r="CL15" i="1"/>
  <c r="CL132" i="1"/>
  <c r="CM211" i="1"/>
  <c r="CK199" i="1"/>
  <c r="CL181" i="1"/>
  <c r="CL129" i="1"/>
  <c r="CL190" i="1"/>
  <c r="CL170" i="1"/>
  <c r="CL118" i="1"/>
  <c r="CL102" i="1"/>
  <c r="CL86" i="1"/>
  <c r="CM210" i="1"/>
  <c r="CK198" i="1"/>
  <c r="CM208" i="1"/>
  <c r="CK196" i="1"/>
  <c r="CL145" i="1"/>
  <c r="CL88" i="1"/>
  <c r="CL16" i="1"/>
  <c r="CM43" i="1"/>
  <c r="CK43" i="1"/>
  <c r="CL54" i="1" s="1"/>
  <c r="CL150" i="1"/>
  <c r="CM57" i="1"/>
  <c r="CK57" i="1"/>
  <c r="CL68" i="1" s="1"/>
  <c r="CL187" i="1"/>
  <c r="CL167" i="1"/>
  <c r="CL151" i="1"/>
  <c r="CL135" i="1"/>
  <c r="CL119" i="1"/>
  <c r="CL103" i="1"/>
  <c r="CL87" i="1"/>
  <c r="CL71" i="1"/>
  <c r="CL55" i="1"/>
  <c r="CL39" i="1"/>
  <c r="CL176" i="1"/>
  <c r="CL100" i="1"/>
  <c r="CL56" i="1"/>
  <c r="CL126" i="1"/>
  <c r="CL134" i="1"/>
  <c r="CL166" i="1"/>
  <c r="CL98" i="1"/>
  <c r="CL179" i="1"/>
  <c r="CL120" i="1"/>
  <c r="CL104" i="1"/>
  <c r="CL37" i="1"/>
  <c r="CL14" i="1"/>
  <c r="CL148" i="1"/>
  <c r="CL184" i="1"/>
  <c r="CL152" i="1"/>
  <c r="CL70" i="1"/>
  <c r="CL173" i="1"/>
  <c r="CL157" i="1"/>
  <c r="CL141" i="1"/>
  <c r="CL121" i="1"/>
  <c r="CL105" i="1"/>
  <c r="CL89" i="1"/>
  <c r="CL73" i="1"/>
  <c r="CL41" i="1"/>
  <c r="CL76" i="1"/>
  <c r="CL74" i="1"/>
  <c r="CL146" i="1"/>
  <c r="CL130" i="1"/>
  <c r="CL23" i="1"/>
  <c r="CL183" i="1"/>
  <c r="CL163" i="1"/>
  <c r="CL147" i="1"/>
  <c r="CL131" i="1"/>
  <c r="CL115" i="1"/>
  <c r="CL99" i="1"/>
  <c r="CL83" i="1"/>
  <c r="CL156" i="1"/>
  <c r="CL96" i="1"/>
  <c r="CL189" i="1"/>
  <c r="CL178" i="1"/>
  <c r="CL162" i="1"/>
  <c r="CL110" i="1"/>
  <c r="CL94" i="1"/>
  <c r="CL78" i="1"/>
  <c r="CL164" i="1"/>
  <c r="CL17" i="1"/>
  <c r="CL186" i="1"/>
  <c r="CL114" i="1"/>
  <c r="CL36" i="1"/>
  <c r="CL182" i="1"/>
  <c r="CL177" i="1"/>
  <c r="CL136" i="1"/>
  <c r="CL180" i="1"/>
  <c r="CL140" i="1"/>
  <c r="CL169" i="1"/>
  <c r="CL153" i="1"/>
  <c r="CL137" i="1"/>
  <c r="CL117" i="1"/>
  <c r="CL101" i="1"/>
  <c r="CL85" i="1"/>
  <c r="CL69" i="1"/>
  <c r="CL124" i="1"/>
  <c r="CL72" i="1"/>
  <c r="CL42" i="1"/>
  <c r="CL142" i="1"/>
  <c r="CL128" i="1"/>
  <c r="CL195" i="1"/>
  <c r="CL175" i="1"/>
  <c r="CL159" i="1"/>
  <c r="CL143" i="1"/>
  <c r="CL127" i="1"/>
  <c r="CL111" i="1"/>
  <c r="CL95" i="1"/>
  <c r="CL79" i="1"/>
  <c r="CL19" i="1"/>
  <c r="CL144" i="1"/>
  <c r="CL80" i="1"/>
  <c r="CL160" i="1"/>
  <c r="CL161" i="1"/>
  <c r="CL125" i="1"/>
  <c r="CL82" i="1"/>
  <c r="CL185" i="1"/>
  <c r="CL194" i="1"/>
  <c r="CL174" i="1"/>
  <c r="CL158" i="1"/>
  <c r="CL122" i="1"/>
  <c r="CL106" i="1"/>
  <c r="CL90" i="1"/>
  <c r="CM209" i="1"/>
  <c r="CK197" i="1"/>
  <c r="CM212" i="1"/>
  <c r="CK200" i="1"/>
  <c r="BA192" i="1"/>
  <c r="BA160" i="1"/>
  <c r="BA128" i="1"/>
  <c r="BA96" i="1"/>
  <c r="BA64" i="1"/>
  <c r="BA32" i="1"/>
  <c r="BA193" i="1"/>
  <c r="BA161" i="1"/>
  <c r="BA129" i="1"/>
  <c r="BA97" i="1"/>
  <c r="BA65" i="1"/>
  <c r="BA33" i="1"/>
  <c r="S175" i="1"/>
  <c r="AD197" i="1"/>
  <c r="S143" i="1"/>
  <c r="S111" i="1"/>
  <c r="S79" i="1"/>
  <c r="S47" i="1"/>
  <c r="S184" i="1"/>
  <c r="S152" i="1"/>
  <c r="S120" i="1"/>
  <c r="S88" i="1"/>
  <c r="S56" i="1"/>
  <c r="S193" i="1"/>
  <c r="S161" i="1"/>
  <c r="S129" i="1"/>
  <c r="S97" i="1"/>
  <c r="S65" i="1"/>
  <c r="S33" i="1"/>
  <c r="O177" i="1"/>
  <c r="AF177" i="1"/>
  <c r="BP196" i="1"/>
  <c r="BP180" i="1"/>
  <c r="BP164" i="1"/>
  <c r="BP148" i="1"/>
  <c r="BP132" i="1"/>
  <c r="BP116" i="1"/>
  <c r="BP100" i="1"/>
  <c r="BP84" i="1"/>
  <c r="BP68" i="1"/>
  <c r="BP52" i="1"/>
  <c r="BP36" i="1"/>
  <c r="BP20" i="1"/>
  <c r="BP190" i="1"/>
  <c r="BP174" i="1"/>
  <c r="BP158" i="1"/>
  <c r="BP142" i="1"/>
  <c r="BP94" i="1"/>
  <c r="BP78" i="1"/>
  <c r="BP30" i="1"/>
  <c r="BA208" i="1"/>
  <c r="AD58" i="1"/>
  <c r="S186" i="1"/>
  <c r="BR92" i="1"/>
  <c r="K144" i="1"/>
  <c r="K92" i="1"/>
  <c r="K20" i="1"/>
  <c r="K129" i="1"/>
  <c r="AF197" i="1"/>
  <c r="AQ58" i="1"/>
  <c r="AD177" i="1"/>
  <c r="AQ197" i="1"/>
  <c r="O124" i="1"/>
  <c r="H197" i="1"/>
  <c r="AQ124" i="1"/>
  <c r="BR58" i="1"/>
  <c r="AF58" i="1"/>
  <c r="H58" i="1"/>
  <c r="H112" i="1"/>
  <c r="O118" i="1"/>
  <c r="AF10" i="1"/>
  <c r="AD118" i="1"/>
  <c r="AQ46" i="1"/>
  <c r="AD112" i="1"/>
  <c r="AQ87" i="1"/>
  <c r="AD134" i="1"/>
  <c r="O77" i="1"/>
  <c r="H77" i="1"/>
  <c r="CP184" i="1"/>
  <c r="CA116" i="1"/>
  <c r="BH116" i="1"/>
  <c r="AF142" i="1"/>
  <c r="BH142" i="1"/>
  <c r="BR94" i="1"/>
  <c r="BH94" i="1"/>
  <c r="CA198" i="1"/>
  <c r="BH198" i="1"/>
  <c r="CA160" i="1"/>
  <c r="BH160" i="1"/>
  <c r="CA144" i="1"/>
  <c r="BH144" i="1"/>
  <c r="H87" i="1"/>
  <c r="CA186" i="1"/>
  <c r="BH186" i="1"/>
  <c r="CA176" i="1"/>
  <c r="BH176" i="1"/>
  <c r="CA43" i="1"/>
  <c r="BH43" i="1"/>
  <c r="CA170" i="1"/>
  <c r="BH170" i="1"/>
  <c r="CA27" i="1"/>
  <c r="BH27" i="1"/>
  <c r="CA141" i="1"/>
  <c r="BH141" i="1"/>
  <c r="BQ152" i="1"/>
  <c r="BA204" i="1"/>
  <c r="BA195" i="1"/>
  <c r="BA163" i="1"/>
  <c r="BA131" i="1"/>
  <c r="BA99" i="1"/>
  <c r="BA67" i="1"/>
  <c r="BA35" i="1"/>
  <c r="BA188" i="1"/>
  <c r="BA156" i="1"/>
  <c r="BA124" i="1"/>
  <c r="BA92" i="1"/>
  <c r="BA60" i="1"/>
  <c r="BA28" i="1"/>
  <c r="S52" i="1"/>
  <c r="CA187" i="1"/>
  <c r="BH187" i="1"/>
  <c r="CA163" i="1"/>
  <c r="BH163" i="1"/>
  <c r="CA83" i="1"/>
  <c r="BH83" i="1"/>
  <c r="CA21" i="1"/>
  <c r="BH21" i="1"/>
  <c r="CA130" i="1"/>
  <c r="BH130" i="1"/>
  <c r="CA158" i="1"/>
  <c r="BH158" i="1"/>
  <c r="AD142" i="1"/>
  <c r="CA196" i="1"/>
  <c r="BH196" i="1"/>
  <c r="CA180" i="1"/>
  <c r="BH180" i="1"/>
  <c r="CA159" i="1"/>
  <c r="BH159" i="1"/>
  <c r="CA161" i="1"/>
  <c r="BH161" i="1"/>
  <c r="CA122" i="1"/>
  <c r="BH122" i="1"/>
  <c r="CA81" i="1"/>
  <c r="BH81" i="1"/>
  <c r="AF69" i="1"/>
  <c r="CA17" i="1"/>
  <c r="BH17" i="1"/>
  <c r="CA133" i="1"/>
  <c r="BH133" i="1"/>
  <c r="CA120" i="1"/>
  <c r="BH120" i="1"/>
  <c r="CA154" i="1"/>
  <c r="BH154" i="1"/>
  <c r="CA78" i="1"/>
  <c r="BH78" i="1"/>
  <c r="CA14" i="1"/>
  <c r="BH14" i="1"/>
  <c r="CA9" i="1"/>
  <c r="BH9" i="1"/>
  <c r="CA103" i="1"/>
  <c r="BH103" i="1"/>
  <c r="CA106" i="1"/>
  <c r="BH106" i="1"/>
  <c r="S48" i="1"/>
  <c r="CA164" i="1"/>
  <c r="BH164" i="1"/>
  <c r="CA188" i="1"/>
  <c r="BH188" i="1"/>
  <c r="CA85" i="1"/>
  <c r="BH85" i="1"/>
  <c r="BR32" i="1"/>
  <c r="BH32" i="1"/>
  <c r="CA102" i="1"/>
  <c r="BH102" i="1"/>
  <c r="CA75" i="1"/>
  <c r="BH75" i="1"/>
  <c r="CA59" i="1"/>
  <c r="BH59" i="1"/>
  <c r="BR60" i="1"/>
  <c r="BH60" i="1"/>
  <c r="CA8" i="1"/>
  <c r="BH8" i="1"/>
  <c r="AQ185" i="1"/>
  <c r="BH185" i="1"/>
  <c r="S32" i="1"/>
  <c r="CA147" i="1"/>
  <c r="BH147" i="1"/>
  <c r="CA29" i="1"/>
  <c r="BH29" i="1"/>
  <c r="CA50" i="1"/>
  <c r="BH50" i="1"/>
  <c r="CA189" i="1"/>
  <c r="BH189" i="1"/>
  <c r="CA156" i="1"/>
  <c r="BH156" i="1"/>
  <c r="AD34" i="1"/>
  <c r="BH34" i="1"/>
  <c r="CA97" i="1"/>
  <c r="BH97" i="1"/>
  <c r="CA10" i="1"/>
  <c r="BH10" i="1"/>
  <c r="BA186" i="1"/>
  <c r="CA20" i="1"/>
  <c r="BH20" i="1"/>
  <c r="CA73" i="1"/>
  <c r="BH73" i="1"/>
  <c r="AQ127" i="1"/>
  <c r="BH127" i="1"/>
  <c r="AD107" i="1"/>
  <c r="BH107" i="1"/>
  <c r="CA157" i="1"/>
  <c r="BH157" i="1"/>
  <c r="CA77" i="1"/>
  <c r="BH77" i="1"/>
  <c r="CA118" i="1"/>
  <c r="BH118" i="1"/>
  <c r="O94" i="1"/>
  <c r="AD4" i="1"/>
  <c r="CA201" i="1"/>
  <c r="BH201" i="1"/>
  <c r="CA168" i="1"/>
  <c r="BH168" i="1"/>
  <c r="CA155" i="1"/>
  <c r="BH155" i="1"/>
  <c r="CA137" i="1"/>
  <c r="BH137" i="1"/>
  <c r="CA45" i="1"/>
  <c r="BH45" i="1"/>
  <c r="CA35" i="1"/>
  <c r="BH35" i="1"/>
  <c r="CA74" i="1"/>
  <c r="BH74" i="1"/>
  <c r="CA68" i="1"/>
  <c r="BH68" i="1"/>
  <c r="CA123" i="1"/>
  <c r="BH123" i="1"/>
  <c r="CA121" i="1"/>
  <c r="BH121" i="1"/>
  <c r="CA80" i="1"/>
  <c r="BH80" i="1"/>
  <c r="CA25" i="1"/>
  <c r="BH25" i="1"/>
  <c r="CA149" i="1"/>
  <c r="BH149" i="1"/>
  <c r="CA71" i="1"/>
  <c r="BH71" i="1"/>
  <c r="CM190" i="1"/>
  <c r="BQ165" i="1"/>
  <c r="CM163" i="1"/>
  <c r="CM79" i="1"/>
  <c r="CA139" i="1"/>
  <c r="BH139" i="1"/>
  <c r="CA128" i="1"/>
  <c r="BH128" i="1"/>
  <c r="AU16" i="1"/>
  <c r="BP188" i="1"/>
  <c r="BP172" i="1"/>
  <c r="BP156" i="1"/>
  <c r="BP140" i="1"/>
  <c r="BP124" i="1"/>
  <c r="BP108" i="1"/>
  <c r="BP92" i="1"/>
  <c r="BP76" i="1"/>
  <c r="BP60" i="1"/>
  <c r="BP44" i="1"/>
  <c r="BP28" i="1"/>
  <c r="BP198" i="1"/>
  <c r="BP182" i="1"/>
  <c r="BP166" i="1"/>
  <c r="BP150" i="1"/>
  <c r="BP134" i="1"/>
  <c r="S210" i="1"/>
  <c r="CA190" i="1"/>
  <c r="BH190" i="1"/>
  <c r="CA88" i="1"/>
  <c r="BH88" i="1"/>
  <c r="CA22" i="1"/>
  <c r="BH22" i="1"/>
  <c r="AQ69" i="1"/>
  <c r="BH69" i="1"/>
  <c r="CA195" i="1"/>
  <c r="BH195" i="1"/>
  <c r="CA108" i="1"/>
  <c r="BH108" i="1"/>
  <c r="CA175" i="1"/>
  <c r="BH175" i="1"/>
  <c r="CA143" i="1"/>
  <c r="BH143" i="1"/>
  <c r="CA110" i="1"/>
  <c r="BH110" i="1"/>
  <c r="CA38" i="1"/>
  <c r="BH38" i="1"/>
  <c r="CA112" i="1"/>
  <c r="BH112" i="1"/>
  <c r="CA96" i="1"/>
  <c r="BH96" i="1"/>
  <c r="H69" i="1"/>
  <c r="BR87" i="1"/>
  <c r="AF32" i="1"/>
  <c r="CA200" i="1"/>
  <c r="BH200" i="1"/>
  <c r="CA152" i="1"/>
  <c r="BH152" i="1"/>
  <c r="CA132" i="1"/>
  <c r="BH132" i="1"/>
  <c r="CA89" i="1"/>
  <c r="BH89" i="1"/>
  <c r="CA31" i="1"/>
  <c r="BH31" i="1"/>
  <c r="CA3" i="1"/>
  <c r="BH3" i="1"/>
  <c r="CA24" i="1"/>
  <c r="BH24" i="1"/>
  <c r="CA126" i="1"/>
  <c r="BH126" i="1"/>
  <c r="CA91" i="1"/>
  <c r="BH91" i="1"/>
  <c r="CA111" i="1"/>
  <c r="BH111" i="1"/>
  <c r="CA135" i="1"/>
  <c r="BH135" i="1"/>
  <c r="CP10" i="1"/>
  <c r="CA119" i="1"/>
  <c r="BH119" i="1"/>
  <c r="CA129" i="1"/>
  <c r="BH129" i="1"/>
  <c r="CA109" i="1"/>
  <c r="BH109" i="1"/>
  <c r="CA162" i="1"/>
  <c r="BH162" i="1"/>
  <c r="CA98" i="1"/>
  <c r="BH98" i="1"/>
  <c r="CA6" i="1"/>
  <c r="BH6" i="1"/>
  <c r="BA98" i="1"/>
  <c r="CA165" i="1"/>
  <c r="BH165" i="1"/>
  <c r="CA84" i="1"/>
  <c r="BH84" i="1"/>
  <c r="CA37" i="1"/>
  <c r="BH37" i="1"/>
  <c r="H104" i="1"/>
  <c r="BH104" i="1"/>
  <c r="CA79" i="1"/>
  <c r="BH79" i="1"/>
  <c r="CA174" i="1"/>
  <c r="BH174" i="1"/>
  <c r="CA18" i="1"/>
  <c r="BH18" i="1"/>
  <c r="AD184" i="1"/>
  <c r="BH184" i="1"/>
  <c r="AF66" i="1"/>
  <c r="BH66" i="1"/>
  <c r="H94" i="1"/>
  <c r="H142" i="1"/>
  <c r="CA100" i="1"/>
  <c r="BH100" i="1"/>
  <c r="CA151" i="1"/>
  <c r="BH151" i="1"/>
  <c r="CA193" i="1"/>
  <c r="BH193" i="1"/>
  <c r="CA51" i="1"/>
  <c r="BH51" i="1"/>
  <c r="AD87" i="1"/>
  <c r="CA166" i="1"/>
  <c r="BH166" i="1"/>
  <c r="CA150" i="1"/>
  <c r="BH150" i="1"/>
  <c r="CA131" i="1"/>
  <c r="BH131" i="1"/>
  <c r="AF127" i="1"/>
  <c r="CA86" i="1"/>
  <c r="BH86" i="1"/>
  <c r="CA30" i="1"/>
  <c r="BH30" i="1"/>
  <c r="CA42" i="1"/>
  <c r="BH42" i="1"/>
  <c r="CA140" i="1"/>
  <c r="BH140" i="1"/>
  <c r="CA125" i="1"/>
  <c r="BH125" i="1"/>
  <c r="CA7" i="1"/>
  <c r="BH7" i="1"/>
  <c r="CA178" i="1"/>
  <c r="BH178" i="1"/>
  <c r="CA136" i="1"/>
  <c r="BH136" i="1"/>
  <c r="CA67" i="1"/>
  <c r="BH67" i="1"/>
  <c r="CA26" i="1"/>
  <c r="BH26" i="1"/>
  <c r="CA28" i="1"/>
  <c r="BH28" i="1"/>
  <c r="CA105" i="1"/>
  <c r="BH105" i="1"/>
  <c r="CM179" i="1"/>
  <c r="AD199" i="1"/>
  <c r="BH199" i="1"/>
  <c r="AD124" i="1"/>
  <c r="BH124" i="1"/>
  <c r="BR197" i="1"/>
  <c r="BH197" i="1"/>
  <c r="H177" i="1"/>
  <c r="BH177" i="1"/>
  <c r="BP205" i="1"/>
  <c r="BA205" i="1"/>
  <c r="BA102" i="1"/>
  <c r="S205" i="1"/>
  <c r="AF124" i="1"/>
  <c r="S195" i="1"/>
  <c r="S172" i="1"/>
  <c r="S140" i="1"/>
  <c r="S108" i="1"/>
  <c r="S76" i="1"/>
  <c r="S181" i="1"/>
  <c r="S149" i="1"/>
  <c r="S117" i="1"/>
  <c r="BA62" i="1"/>
  <c r="BA82" i="1"/>
  <c r="S191" i="1"/>
  <c r="S159" i="1"/>
  <c r="S127" i="1"/>
  <c r="S95" i="1"/>
  <c r="S63" i="1"/>
  <c r="S31" i="1"/>
  <c r="S200" i="1"/>
  <c r="S168" i="1"/>
  <c r="S136" i="1"/>
  <c r="S177" i="1"/>
  <c r="S145" i="1"/>
  <c r="S113" i="1"/>
  <c r="S81" i="1"/>
  <c r="S49" i="1"/>
  <c r="S17" i="1"/>
  <c r="S182" i="1"/>
  <c r="S150" i="1"/>
  <c r="S118" i="1"/>
  <c r="S86" i="1"/>
  <c r="S54" i="1"/>
  <c r="S22" i="1"/>
  <c r="S174" i="1"/>
  <c r="S142" i="1"/>
  <c r="S110" i="1"/>
  <c r="S78" i="1"/>
  <c r="S28" i="1"/>
  <c r="BA209" i="1"/>
  <c r="BA78" i="1"/>
  <c r="BA162" i="1"/>
  <c r="S204" i="1"/>
  <c r="S15" i="1"/>
  <c r="S20" i="1"/>
  <c r="H124" i="1"/>
  <c r="BA184" i="1"/>
  <c r="BA152" i="1"/>
  <c r="BA120" i="1"/>
  <c r="BA88" i="1"/>
  <c r="BA56" i="1"/>
  <c r="BA185" i="1"/>
  <c r="BA153" i="1"/>
  <c r="BA121" i="1"/>
  <c r="BA89" i="1"/>
  <c r="BA57" i="1"/>
  <c r="BA25" i="1"/>
  <c r="BA130" i="1"/>
  <c r="S176" i="1"/>
  <c r="S144" i="1"/>
  <c r="S112" i="1"/>
  <c r="S80" i="1"/>
  <c r="S185" i="1"/>
  <c r="S153" i="1"/>
  <c r="S121" i="1"/>
  <c r="S89" i="1"/>
  <c r="S57" i="1"/>
  <c r="S25" i="1"/>
  <c r="S190" i="1"/>
  <c r="S158" i="1"/>
  <c r="S126" i="1"/>
  <c r="S94" i="1"/>
  <c r="S62" i="1"/>
  <c r="S30" i="1"/>
  <c r="AF94" i="1"/>
  <c r="AQ104" i="1"/>
  <c r="AD94" i="1"/>
  <c r="AD104" i="1"/>
  <c r="AQ142" i="1"/>
  <c r="BR142" i="1"/>
  <c r="O104" i="1"/>
  <c r="AQ32" i="1"/>
  <c r="BR69" i="1"/>
  <c r="O32" i="1"/>
  <c r="BQ191" i="1"/>
  <c r="O142" i="1"/>
  <c r="AD32" i="1"/>
  <c r="K206" i="1"/>
  <c r="AU27" i="1"/>
  <c r="O199" i="1"/>
  <c r="CM182" i="1"/>
  <c r="CM103" i="1"/>
  <c r="S104" i="1"/>
  <c r="S72" i="1"/>
  <c r="S70" i="1"/>
  <c r="S38" i="1"/>
  <c r="CP106" i="1"/>
  <c r="S188" i="1"/>
  <c r="S156" i="1"/>
  <c r="S124" i="1"/>
  <c r="S92" i="1"/>
  <c r="S60" i="1"/>
  <c r="S197" i="1"/>
  <c r="S165" i="1"/>
  <c r="S133" i="1"/>
  <c r="S101" i="1"/>
  <c r="S69" i="1"/>
  <c r="S37" i="1"/>
  <c r="BP126" i="1"/>
  <c r="BP110" i="1"/>
  <c r="BP62" i="1"/>
  <c r="BP46" i="1"/>
  <c r="BA189" i="1"/>
  <c r="BA157" i="1"/>
  <c r="BA125" i="1"/>
  <c r="BA93" i="1"/>
  <c r="BA61" i="1"/>
  <c r="BA29" i="1"/>
  <c r="BA166" i="1"/>
  <c r="S203" i="1"/>
  <c r="S171" i="1"/>
  <c r="S139" i="1"/>
  <c r="S107" i="1"/>
  <c r="S75" i="1"/>
  <c r="S43" i="1"/>
  <c r="S180" i="1"/>
  <c r="S148" i="1"/>
  <c r="S116" i="1"/>
  <c r="S84" i="1"/>
  <c r="S189" i="1"/>
  <c r="S157" i="1"/>
  <c r="S125" i="1"/>
  <c r="S93" i="1"/>
  <c r="S61" i="1"/>
  <c r="S29" i="1"/>
  <c r="S194" i="1"/>
  <c r="S162" i="1"/>
  <c r="S130" i="1"/>
  <c r="S98" i="1"/>
  <c r="S66" i="1"/>
  <c r="S34" i="1"/>
  <c r="BA191" i="1"/>
  <c r="BA159" i="1"/>
  <c r="BA127" i="1"/>
  <c r="BA95" i="1"/>
  <c r="BA63" i="1"/>
  <c r="BA31" i="1"/>
  <c r="S199" i="1"/>
  <c r="S167" i="1"/>
  <c r="S135" i="1"/>
  <c r="S103" i="1"/>
  <c r="S71" i="1"/>
  <c r="S39" i="1"/>
  <c r="S163" i="1"/>
  <c r="S131" i="1"/>
  <c r="S99" i="1"/>
  <c r="S67" i="1"/>
  <c r="S35" i="1"/>
  <c r="S207" i="1"/>
  <c r="S44" i="1"/>
  <c r="S36" i="1"/>
  <c r="S211" i="1"/>
  <c r="BA50" i="1"/>
  <c r="S187" i="1"/>
  <c r="S155" i="1"/>
  <c r="S123" i="1"/>
  <c r="S91" i="1"/>
  <c r="S59" i="1"/>
  <c r="S27" i="1"/>
  <c r="S196" i="1"/>
  <c r="S164" i="1"/>
  <c r="S132" i="1"/>
  <c r="S100" i="1"/>
  <c r="S68" i="1"/>
  <c r="S173" i="1"/>
  <c r="S141" i="1"/>
  <c r="S109" i="1"/>
  <c r="S77" i="1"/>
  <c r="S45" i="1"/>
  <c r="S178" i="1"/>
  <c r="S146" i="1"/>
  <c r="S114" i="1"/>
  <c r="S82" i="1"/>
  <c r="S50" i="1"/>
  <c r="S18" i="1"/>
  <c r="CB188" i="1"/>
  <c r="CB156" i="1"/>
  <c r="CB140" i="1"/>
  <c r="CB124" i="1"/>
  <c r="CB108" i="1"/>
  <c r="CB76" i="1"/>
  <c r="CB60" i="1"/>
  <c r="CB44" i="1"/>
  <c r="CB28" i="1"/>
  <c r="CB12" i="1"/>
  <c r="CB198" i="1"/>
  <c r="CB182" i="1"/>
  <c r="CB150" i="1"/>
  <c r="CB134" i="1"/>
  <c r="CB118" i="1"/>
  <c r="CB102" i="1"/>
  <c r="CB86" i="1"/>
  <c r="CB70" i="1"/>
  <c r="CB54" i="1"/>
  <c r="CB38" i="1"/>
  <c r="CB22" i="1"/>
  <c r="BA175" i="1"/>
  <c r="BA143" i="1"/>
  <c r="BA111" i="1"/>
  <c r="BA79" i="1"/>
  <c r="BA47" i="1"/>
  <c r="BP210" i="1"/>
  <c r="BA211" i="1"/>
  <c r="BA200" i="1"/>
  <c r="BA168" i="1"/>
  <c r="BA136" i="1"/>
  <c r="BA104" i="1"/>
  <c r="BA72" i="1"/>
  <c r="BA40" i="1"/>
  <c r="BA201" i="1"/>
  <c r="BA169" i="1"/>
  <c r="BA137" i="1"/>
  <c r="BA105" i="1"/>
  <c r="BA73" i="1"/>
  <c r="BA41" i="1"/>
  <c r="BA34" i="1"/>
  <c r="BA26" i="1"/>
  <c r="S192" i="1"/>
  <c r="S160" i="1"/>
  <c r="S128" i="1"/>
  <c r="S96" i="1"/>
  <c r="S64" i="1"/>
  <c r="S201" i="1"/>
  <c r="S169" i="1"/>
  <c r="S137" i="1"/>
  <c r="S105" i="1"/>
  <c r="S73" i="1"/>
  <c r="S41" i="1"/>
  <c r="S46" i="1"/>
  <c r="AQ129" i="1"/>
  <c r="AD6" i="1"/>
  <c r="K21" i="1"/>
  <c r="K182" i="1"/>
  <c r="AU35" i="1"/>
  <c r="CB187" i="1"/>
  <c r="CB171" i="1"/>
  <c r="CB155" i="1"/>
  <c r="CB139" i="1"/>
  <c r="CB123" i="1"/>
  <c r="CB107" i="1"/>
  <c r="CB91" i="1"/>
  <c r="CB75" i="1"/>
  <c r="CB59" i="1"/>
  <c r="CB43" i="1"/>
  <c r="CB27" i="1"/>
  <c r="CB11" i="1"/>
  <c r="BX193" i="1"/>
  <c r="CB193" i="1"/>
  <c r="BX177" i="1"/>
  <c r="CB177" i="1"/>
  <c r="BX161" i="1"/>
  <c r="CB161" i="1"/>
  <c r="BX145" i="1"/>
  <c r="CB145" i="1"/>
  <c r="BX129" i="1"/>
  <c r="CB129" i="1"/>
  <c r="BX113" i="1"/>
  <c r="CB113" i="1"/>
  <c r="BX97" i="1"/>
  <c r="CB97" i="1"/>
  <c r="BX81" i="1"/>
  <c r="CB81" i="1"/>
  <c r="BX65" i="1"/>
  <c r="CB65" i="1"/>
  <c r="BX49" i="1"/>
  <c r="CB49" i="1"/>
  <c r="BX33" i="1"/>
  <c r="CB33" i="1"/>
  <c r="BX17" i="1"/>
  <c r="CB17" i="1"/>
  <c r="BA179" i="1"/>
  <c r="BA147" i="1"/>
  <c r="BA115" i="1"/>
  <c r="BA83" i="1"/>
  <c r="BA51" i="1"/>
  <c r="BA19" i="1"/>
  <c r="K211" i="1"/>
  <c r="CB212" i="1"/>
  <c r="BX212" i="1"/>
  <c r="BA212" i="1"/>
  <c r="BA172" i="1"/>
  <c r="BA140" i="1"/>
  <c r="BA108" i="1"/>
  <c r="BA76" i="1"/>
  <c r="BA44" i="1"/>
  <c r="BA170" i="1"/>
  <c r="BA173" i="1"/>
  <c r="BA141" i="1"/>
  <c r="BA109" i="1"/>
  <c r="BA77" i="1"/>
  <c r="BA45" i="1"/>
  <c r="BA54" i="1"/>
  <c r="CB172" i="1"/>
  <c r="CB92" i="1"/>
  <c r="BR109" i="1"/>
  <c r="CB199" i="1"/>
  <c r="CB183" i="1"/>
  <c r="CB167" i="1"/>
  <c r="CB151" i="1"/>
  <c r="CB135" i="1"/>
  <c r="CB119" i="1"/>
  <c r="CB103" i="1"/>
  <c r="CB87" i="1"/>
  <c r="CB71" i="1"/>
  <c r="CB55" i="1"/>
  <c r="CB39" i="1"/>
  <c r="CB23" i="1"/>
  <c r="CB7" i="1"/>
  <c r="CB189" i="1"/>
  <c r="CB173" i="1"/>
  <c r="CB157" i="1"/>
  <c r="CB141" i="1"/>
  <c r="CB125" i="1"/>
  <c r="CB109" i="1"/>
  <c r="CB93" i="1"/>
  <c r="CB77" i="1"/>
  <c r="CB61" i="1"/>
  <c r="CB45" i="1"/>
  <c r="CB29" i="1"/>
  <c r="CB13" i="1"/>
  <c r="CB114" i="1"/>
  <c r="CB98" i="1"/>
  <c r="CB50" i="1"/>
  <c r="CB34" i="1"/>
  <c r="BA171" i="1"/>
  <c r="BA139" i="1"/>
  <c r="BA107" i="1"/>
  <c r="BA75" i="1"/>
  <c r="BA43" i="1"/>
  <c r="BA207" i="1"/>
  <c r="K212" i="1"/>
  <c r="CB210" i="1"/>
  <c r="BX210" i="1"/>
  <c r="BA158" i="1"/>
  <c r="BA196" i="1"/>
  <c r="BA164" i="1"/>
  <c r="BA132" i="1"/>
  <c r="BA100" i="1"/>
  <c r="BA68" i="1"/>
  <c r="BA36" i="1"/>
  <c r="BA197" i="1"/>
  <c r="BA198" i="1"/>
  <c r="BA182" i="1"/>
  <c r="BX211" i="1"/>
  <c r="CB211" i="1"/>
  <c r="BP195" i="1"/>
  <c r="BP179" i="1"/>
  <c r="BP163" i="1"/>
  <c r="BP147" i="1"/>
  <c r="BP131" i="1"/>
  <c r="BP115" i="1"/>
  <c r="BP99" i="1"/>
  <c r="BP83" i="1"/>
  <c r="BP67" i="1"/>
  <c r="BP51" i="1"/>
  <c r="BP35" i="1"/>
  <c r="BP19" i="1"/>
  <c r="CB200" i="1"/>
  <c r="CB184" i="1"/>
  <c r="CB168" i="1"/>
  <c r="CB152" i="1"/>
  <c r="CB136" i="1"/>
  <c r="CB120" i="1"/>
  <c r="CB104" i="1"/>
  <c r="CB88" i="1"/>
  <c r="CB72" i="1"/>
  <c r="CB56" i="1"/>
  <c r="CB40" i="1"/>
  <c r="CB24" i="1"/>
  <c r="CB8" i="1"/>
  <c r="CB194" i="1"/>
  <c r="CB178" i="1"/>
  <c r="CB162" i="1"/>
  <c r="CB146" i="1"/>
  <c r="CB130" i="1"/>
  <c r="CB82" i="1"/>
  <c r="CB66" i="1"/>
  <c r="CB18" i="1"/>
  <c r="AU209" i="1"/>
  <c r="BA154" i="1"/>
  <c r="CB6" i="1"/>
  <c r="AU206" i="1"/>
  <c r="CB202" i="1"/>
  <c r="CB195" i="1"/>
  <c r="CB179" i="1"/>
  <c r="CB163" i="1"/>
  <c r="CB147" i="1"/>
  <c r="CB131" i="1"/>
  <c r="CB115" i="1"/>
  <c r="CB99" i="1"/>
  <c r="CB83" i="1"/>
  <c r="CB67" i="1"/>
  <c r="CB51" i="1"/>
  <c r="CB35" i="1"/>
  <c r="CB19" i="1"/>
  <c r="CB3" i="1"/>
  <c r="BX201" i="1"/>
  <c r="CB201" i="1"/>
  <c r="BX185" i="1"/>
  <c r="CB185" i="1"/>
  <c r="BX169" i="1"/>
  <c r="CB169" i="1"/>
  <c r="BX153" i="1"/>
  <c r="CB153" i="1"/>
  <c r="BX137" i="1"/>
  <c r="CB137" i="1"/>
  <c r="BX121" i="1"/>
  <c r="CB121" i="1"/>
  <c r="BX105" i="1"/>
  <c r="CB105" i="1"/>
  <c r="BX89" i="1"/>
  <c r="CB89" i="1"/>
  <c r="BX73" i="1"/>
  <c r="CB73" i="1"/>
  <c r="CB57" i="1"/>
  <c r="CB41" i="1"/>
  <c r="CB25" i="1"/>
  <c r="CB9" i="1"/>
  <c r="BX209" i="1"/>
  <c r="CB209" i="1"/>
  <c r="BP211" i="1"/>
  <c r="BA190" i="1"/>
  <c r="BA138" i="1"/>
  <c r="AF129" i="1"/>
  <c r="AF6" i="1"/>
  <c r="CB196" i="1"/>
  <c r="CB180" i="1"/>
  <c r="CB164" i="1"/>
  <c r="CB148" i="1"/>
  <c r="CB132" i="1"/>
  <c r="CB116" i="1"/>
  <c r="CB100" i="1"/>
  <c r="CB84" i="1"/>
  <c r="CB68" i="1"/>
  <c r="CB52" i="1"/>
  <c r="CB36" i="1"/>
  <c r="CB20" i="1"/>
  <c r="CB4" i="1"/>
  <c r="CB190" i="1"/>
  <c r="CB174" i="1"/>
  <c r="CB158" i="1"/>
  <c r="CB142" i="1"/>
  <c r="CB126" i="1"/>
  <c r="CB110" i="1"/>
  <c r="CB94" i="1"/>
  <c r="CB78" i="1"/>
  <c r="CB62" i="1"/>
  <c r="CB46" i="1"/>
  <c r="CB30" i="1"/>
  <c r="CB14" i="1"/>
  <c r="BQ209" i="1"/>
  <c r="AU212" i="1"/>
  <c r="BA46" i="1"/>
  <c r="BA110" i="1"/>
  <c r="BA24" i="1"/>
  <c r="BA114" i="1"/>
  <c r="BA134" i="1"/>
  <c r="BA106" i="1"/>
  <c r="CB166" i="1"/>
  <c r="AD162" i="1"/>
  <c r="H162" i="1"/>
  <c r="CM122" i="1"/>
  <c r="O98" i="1"/>
  <c r="AU43" i="1"/>
  <c r="AU184" i="1"/>
  <c r="AU152" i="1"/>
  <c r="AU120" i="1"/>
  <c r="AU88" i="1"/>
  <c r="CB191" i="1"/>
  <c r="CB175" i="1"/>
  <c r="CB159" i="1"/>
  <c r="CB143" i="1"/>
  <c r="CB127" i="1"/>
  <c r="CB111" i="1"/>
  <c r="CB95" i="1"/>
  <c r="CB79" i="1"/>
  <c r="CB63" i="1"/>
  <c r="CB47" i="1"/>
  <c r="CB31" i="1"/>
  <c r="CB15" i="1"/>
  <c r="CB197" i="1"/>
  <c r="CB181" i="1"/>
  <c r="CB165" i="1"/>
  <c r="CB149" i="1"/>
  <c r="CB133" i="1"/>
  <c r="CB117" i="1"/>
  <c r="CB101" i="1"/>
  <c r="CB85" i="1"/>
  <c r="CB69" i="1"/>
  <c r="CB53" i="1"/>
  <c r="CB37" i="1"/>
  <c r="CB21" i="1"/>
  <c r="CB5" i="1"/>
  <c r="CB122" i="1"/>
  <c r="CB106" i="1"/>
  <c r="CB58" i="1"/>
  <c r="CB42" i="1"/>
  <c r="BA203" i="1"/>
  <c r="BA187" i="1"/>
  <c r="BA155" i="1"/>
  <c r="BA123" i="1"/>
  <c r="BA91" i="1"/>
  <c r="BA59" i="1"/>
  <c r="BA27" i="1"/>
  <c r="K210" i="1"/>
  <c r="K209" i="1"/>
  <c r="AU211" i="1"/>
  <c r="BA180" i="1"/>
  <c r="BA148" i="1"/>
  <c r="BA116" i="1"/>
  <c r="BA84" i="1"/>
  <c r="BA52" i="1"/>
  <c r="BA20" i="1"/>
  <c r="BA86" i="1"/>
  <c r="BA181" i="1"/>
  <c r="BA149" i="1"/>
  <c r="BA117" i="1"/>
  <c r="BA85" i="1"/>
  <c r="BA53" i="1"/>
  <c r="BA21" i="1"/>
  <c r="BA90" i="1"/>
  <c r="BA70" i="1"/>
  <c r="K62" i="1"/>
  <c r="K46" i="1"/>
  <c r="CB192" i="1"/>
  <c r="CB176" i="1"/>
  <c r="CB160" i="1"/>
  <c r="CB144" i="1"/>
  <c r="CB128" i="1"/>
  <c r="CB112" i="1"/>
  <c r="CB96" i="1"/>
  <c r="CB80" i="1"/>
  <c r="CB64" i="1"/>
  <c r="CB48" i="1"/>
  <c r="CB32" i="1"/>
  <c r="CB16" i="1"/>
  <c r="CB186" i="1"/>
  <c r="CB170" i="1"/>
  <c r="CB154" i="1"/>
  <c r="CB138" i="1"/>
  <c r="CB90" i="1"/>
  <c r="CB74" i="1"/>
  <c r="CB26" i="1"/>
  <c r="CB10" i="1"/>
  <c r="BA183" i="1"/>
  <c r="BA151" i="1"/>
  <c r="BA119" i="1"/>
  <c r="BA87" i="1"/>
  <c r="BA55" i="1"/>
  <c r="BA23" i="1"/>
  <c r="BP209" i="1"/>
  <c r="AU210" i="1"/>
  <c r="BP212" i="1"/>
  <c r="BA176" i="1"/>
  <c r="BA144" i="1"/>
  <c r="BA112" i="1"/>
  <c r="BA80" i="1"/>
  <c r="BA48" i="1"/>
  <c r="BA42" i="1"/>
  <c r="BA177" i="1"/>
  <c r="BA145" i="1"/>
  <c r="BA113" i="1"/>
  <c r="BA81" i="1"/>
  <c r="BA49" i="1"/>
  <c r="BA17" i="1"/>
  <c r="BA38" i="1"/>
  <c r="BS209" i="1"/>
  <c r="BY209" i="1"/>
  <c r="BX204" i="1"/>
  <c r="CB204" i="1"/>
  <c r="BY211" i="1"/>
  <c r="CC211" i="1"/>
  <c r="BY212" i="1"/>
  <c r="CC212" i="1"/>
  <c r="CJ209" i="1"/>
  <c r="CJ212" i="1"/>
  <c r="CJ210" i="1"/>
  <c r="CJ211" i="1"/>
  <c r="BX206" i="1"/>
  <c r="CB206" i="1"/>
  <c r="BQ211" i="1"/>
  <c r="BS211" i="1"/>
  <c r="BQ212" i="1"/>
  <c r="BS212" i="1"/>
  <c r="BY210" i="1"/>
  <c r="CC210" i="1"/>
  <c r="BQ210" i="1"/>
  <c r="BS210" i="1"/>
  <c r="O8" i="1"/>
  <c r="AD60" i="1"/>
  <c r="O109" i="1"/>
  <c r="O107" i="1"/>
  <c r="AQ66" i="1"/>
  <c r="AF8" i="1"/>
  <c r="H114" i="1"/>
  <c r="CA114" i="1"/>
  <c r="BR185" i="1"/>
  <c r="AD8" i="1"/>
  <c r="H8" i="1"/>
  <c r="H4" i="1"/>
  <c r="CA4" i="1"/>
  <c r="CC46" i="1"/>
  <c r="CA46" i="1"/>
  <c r="AF173" i="1"/>
  <c r="CA173" i="1"/>
  <c r="H93" i="1"/>
  <c r="CA93" i="1"/>
  <c r="AF113" i="1"/>
  <c r="CA113" i="1"/>
  <c r="AD70" i="1"/>
  <c r="CA70" i="1"/>
  <c r="CC48" i="1"/>
  <c r="CA48" i="1"/>
  <c r="CC8" i="1"/>
  <c r="CC55" i="1"/>
  <c r="CA55" i="1"/>
  <c r="CC19" i="1"/>
  <c r="CA19" i="1"/>
  <c r="H101" i="1"/>
  <c r="CA101" i="1"/>
  <c r="CC65" i="1"/>
  <c r="CA65" i="1"/>
  <c r="CC146" i="1"/>
  <c r="CA146" i="1"/>
  <c r="AQ172" i="1"/>
  <c r="CA172" i="1"/>
  <c r="CC115" i="1"/>
  <c r="CA115" i="1"/>
  <c r="CC169" i="1"/>
  <c r="CA169" i="1"/>
  <c r="O36" i="1"/>
  <c r="CA36" i="1"/>
  <c r="CP8" i="1"/>
  <c r="CC87" i="1"/>
  <c r="CA87" i="1"/>
  <c r="CC148" i="1"/>
  <c r="CA148" i="1"/>
  <c r="CC134" i="1"/>
  <c r="CA134" i="1"/>
  <c r="CC95" i="1"/>
  <c r="CA95" i="1"/>
  <c r="AQ138" i="1"/>
  <c r="CA138" i="1"/>
  <c r="O60" i="1"/>
  <c r="H53" i="1"/>
  <c r="CA53" i="1"/>
  <c r="AF63" i="1"/>
  <c r="CA63" i="1"/>
  <c r="AQ60" i="1"/>
  <c r="BR34" i="1"/>
  <c r="H34" i="1"/>
  <c r="AF52" i="1"/>
  <c r="CA52" i="1"/>
  <c r="BR61" i="1"/>
  <c r="CA61" i="1"/>
  <c r="AF16" i="1"/>
  <c r="CA16" i="1"/>
  <c r="CC72" i="1"/>
  <c r="CA72" i="1"/>
  <c r="CC40" i="1"/>
  <c r="CA40" i="1"/>
  <c r="CC181" i="1"/>
  <c r="CA181" i="1"/>
  <c r="O5" i="1"/>
  <c r="CA5" i="1"/>
  <c r="CC82" i="1"/>
  <c r="CA82" i="1"/>
  <c r="CC62" i="1"/>
  <c r="CA62" i="1"/>
  <c r="H153" i="1"/>
  <c r="CA153" i="1"/>
  <c r="CC184" i="1"/>
  <c r="CA184" i="1"/>
  <c r="AF92" i="1"/>
  <c r="CA92" i="1"/>
  <c r="CC167" i="1"/>
  <c r="CA167" i="1"/>
  <c r="CC64" i="1"/>
  <c r="CA64" i="1"/>
  <c r="H107" i="1"/>
  <c r="CA107" i="1"/>
  <c r="CC185" i="1"/>
  <c r="CA185" i="1"/>
  <c r="CC66" i="1"/>
  <c r="CA66" i="1"/>
  <c r="CC90" i="1"/>
  <c r="CA90" i="1"/>
  <c r="H185" i="1"/>
  <c r="AQ34" i="1"/>
  <c r="AF34" i="1"/>
  <c r="H66" i="1"/>
  <c r="O34" i="1"/>
  <c r="O44" i="1"/>
  <c r="CA44" i="1"/>
  <c r="AQ23" i="1"/>
  <c r="CA23" i="1"/>
  <c r="AQ13" i="1"/>
  <c r="CA13" i="1"/>
  <c r="AD54" i="1"/>
  <c r="CA54" i="1"/>
  <c r="O184" i="1"/>
  <c r="O185" i="1"/>
  <c r="BR95" i="1"/>
  <c r="BR8" i="1"/>
  <c r="O38" i="1"/>
  <c r="O162" i="1"/>
  <c r="H92" i="1"/>
  <c r="O66" i="1"/>
  <c r="AQ99" i="1"/>
  <c r="CA99" i="1"/>
  <c r="BR57" i="1"/>
  <c r="CA57" i="1"/>
  <c r="CC182" i="1"/>
  <c r="CA182" i="1"/>
  <c r="AF76" i="1"/>
  <c r="CA76" i="1"/>
  <c r="AF41" i="1"/>
  <c r="CA41" i="1"/>
  <c r="CP199" i="1"/>
  <c r="CA199" i="1"/>
  <c r="AQ183" i="1"/>
  <c r="CA183" i="1"/>
  <c r="CC124" i="1"/>
  <c r="CA124" i="1"/>
  <c r="CC197" i="1"/>
  <c r="CA197" i="1"/>
  <c r="CC177" i="1"/>
  <c r="CA177" i="1"/>
  <c r="CC58" i="1"/>
  <c r="CA58" i="1"/>
  <c r="CC33" i="1"/>
  <c r="CA33" i="1"/>
  <c r="BR12" i="1"/>
  <c r="CA12" i="1"/>
  <c r="AD145" i="1"/>
  <c r="CA145" i="1"/>
  <c r="H194" i="1"/>
  <c r="CA194" i="1"/>
  <c r="H127" i="1"/>
  <c r="CA127" i="1"/>
  <c r="CC60" i="1"/>
  <c r="CA60" i="1"/>
  <c r="CC34" i="1"/>
  <c r="CA34" i="1"/>
  <c r="AF184" i="1"/>
  <c r="BR66" i="1"/>
  <c r="CC179" i="1"/>
  <c r="CA179" i="1"/>
  <c r="AQ184" i="1"/>
  <c r="AD66" i="1"/>
  <c r="CC171" i="1"/>
  <c r="CA171" i="1"/>
  <c r="O95" i="1"/>
  <c r="AQ191" i="1"/>
  <c r="CA191" i="1"/>
  <c r="AD47" i="1"/>
  <c r="CA47" i="1"/>
  <c r="H184" i="1"/>
  <c r="AD185" i="1"/>
  <c r="AD95" i="1"/>
  <c r="AF60" i="1"/>
  <c r="AQ8" i="1"/>
  <c r="AQ202" i="1"/>
  <c r="CA202" i="1"/>
  <c r="CC192" i="1"/>
  <c r="CA192" i="1"/>
  <c r="BR162" i="1"/>
  <c r="BR107" i="1"/>
  <c r="AF39" i="1"/>
  <c r="CA39" i="1"/>
  <c r="BR49" i="1"/>
  <c r="CA49" i="1"/>
  <c r="H15" i="1"/>
  <c r="CA15" i="1"/>
  <c r="H117" i="1"/>
  <c r="CA117" i="1"/>
  <c r="O11" i="1"/>
  <c r="CA11" i="1"/>
  <c r="AF56" i="1"/>
  <c r="CA56" i="1"/>
  <c r="CP66" i="1"/>
  <c r="CP6" i="1"/>
  <c r="CC104" i="1"/>
  <c r="CA104" i="1"/>
  <c r="CC32" i="1"/>
  <c r="CA32" i="1"/>
  <c r="CC69" i="1"/>
  <c r="CA69" i="1"/>
  <c r="CC142" i="1"/>
  <c r="CA142" i="1"/>
  <c r="CC94" i="1"/>
  <c r="CA94" i="1"/>
  <c r="AU208" i="1"/>
  <c r="CM173" i="1"/>
  <c r="CM130" i="1"/>
  <c r="CM119" i="1"/>
  <c r="CP12" i="1"/>
  <c r="CM188" i="1"/>
  <c r="CM152" i="1"/>
  <c r="CM136" i="1"/>
  <c r="CM120" i="1"/>
  <c r="CM88" i="1"/>
  <c r="CM72" i="1"/>
  <c r="CM56" i="1"/>
  <c r="CM40" i="1"/>
  <c r="CM85" i="1"/>
  <c r="K191" i="1"/>
  <c r="K175" i="1"/>
  <c r="K159" i="1"/>
  <c r="K143" i="1"/>
  <c r="K107" i="1"/>
  <c r="BP15" i="1"/>
  <c r="BP149" i="1"/>
  <c r="BP133" i="1"/>
  <c r="BP117" i="1"/>
  <c r="BP101" i="1"/>
  <c r="BX190" i="1"/>
  <c r="BX174" i="1"/>
  <c r="BX158" i="1"/>
  <c r="BX142" i="1"/>
  <c r="BX94" i="1"/>
  <c r="BX78" i="1"/>
  <c r="BX30" i="1"/>
  <c r="BX208" i="1"/>
  <c r="BR183" i="1"/>
  <c r="CM202" i="1"/>
  <c r="AQ64" i="1"/>
  <c r="CM115" i="1"/>
  <c r="CM185" i="1"/>
  <c r="AU202" i="1"/>
  <c r="BX205" i="1"/>
  <c r="BX15" i="1"/>
  <c r="BQ208" i="1"/>
  <c r="BS208" i="1"/>
  <c r="H12" i="1"/>
  <c r="CM25" i="1"/>
  <c r="AF199" i="1"/>
  <c r="CM61" i="1"/>
  <c r="CM117" i="1"/>
  <c r="K30" i="1"/>
  <c r="AU28" i="1"/>
  <c r="AU180" i="1"/>
  <c r="AU148" i="1"/>
  <c r="AU116" i="1"/>
  <c r="AU84" i="1"/>
  <c r="AU52" i="1"/>
  <c r="AU197" i="1"/>
  <c r="AU165" i="1"/>
  <c r="AU133" i="1"/>
  <c r="AU101" i="1"/>
  <c r="AU69" i="1"/>
  <c r="AU170" i="1"/>
  <c r="AU138" i="1"/>
  <c r="AU106" i="1"/>
  <c r="AU74" i="1"/>
  <c r="AU42" i="1"/>
  <c r="BP118" i="1"/>
  <c r="BP102" i="1"/>
  <c r="BP86" i="1"/>
  <c r="BP70" i="1"/>
  <c r="BP54" i="1"/>
  <c r="BP38" i="1"/>
  <c r="BP22" i="1"/>
  <c r="BP208" i="1"/>
  <c r="CJ208" i="1"/>
  <c r="BR177" i="1"/>
  <c r="O197" i="1"/>
  <c r="BR104" i="1"/>
  <c r="AQ47" i="1"/>
  <c r="BR47" i="1"/>
  <c r="BR127" i="1"/>
  <c r="AD127" i="1"/>
  <c r="AF104" i="1"/>
  <c r="BQ108" i="1"/>
  <c r="CM23" i="1"/>
  <c r="CM154" i="1"/>
  <c r="CM138" i="1"/>
  <c r="CM102" i="1"/>
  <c r="CM86" i="1"/>
  <c r="CM70" i="1"/>
  <c r="CM54" i="1"/>
  <c r="CM38" i="1"/>
  <c r="CM81" i="1"/>
  <c r="CM29" i="1"/>
  <c r="CM47" i="1"/>
  <c r="BQ190" i="1"/>
  <c r="CM127" i="1"/>
  <c r="CM24" i="1"/>
  <c r="CM160" i="1"/>
  <c r="CM144" i="1"/>
  <c r="CM80" i="1"/>
  <c r="CM48" i="1"/>
  <c r="CM121" i="1"/>
  <c r="CM53" i="1"/>
  <c r="K99" i="1"/>
  <c r="K27" i="1"/>
  <c r="BP189" i="1"/>
  <c r="BP173" i="1"/>
  <c r="BP157" i="1"/>
  <c r="BP141" i="1"/>
  <c r="BP125" i="1"/>
  <c r="BP109" i="1"/>
  <c r="BP93" i="1"/>
  <c r="BP77" i="1"/>
  <c r="BP61" i="1"/>
  <c r="BP45" i="1"/>
  <c r="BP29" i="1"/>
  <c r="BX198" i="1"/>
  <c r="BX182" i="1"/>
  <c r="BX166" i="1"/>
  <c r="BX150" i="1"/>
  <c r="BX102" i="1"/>
  <c r="BX86" i="1"/>
  <c r="BX38" i="1"/>
  <c r="BX22" i="1"/>
  <c r="K208" i="1"/>
  <c r="BY208" i="1"/>
  <c r="CC208" i="1"/>
  <c r="BX199" i="1"/>
  <c r="BX183" i="1"/>
  <c r="BX167" i="1"/>
  <c r="BX151" i="1"/>
  <c r="BX135" i="1"/>
  <c r="BX119" i="1"/>
  <c r="BX103" i="1"/>
  <c r="BX87" i="1"/>
  <c r="BX71" i="1"/>
  <c r="BX55" i="1"/>
  <c r="BX39" i="1"/>
  <c r="BX23" i="1"/>
  <c r="H33" i="1"/>
  <c r="H82" i="1"/>
  <c r="AF12" i="1"/>
  <c r="AQ12" i="1"/>
  <c r="AF64" i="1"/>
  <c r="CM168" i="1"/>
  <c r="H55" i="1"/>
  <c r="CM49" i="1"/>
  <c r="K82" i="1"/>
  <c r="CI200" i="1"/>
  <c r="CN212" i="1" s="1"/>
  <c r="AD12" i="1"/>
  <c r="CM157" i="1"/>
  <c r="CM186" i="1"/>
  <c r="BQ161" i="1"/>
  <c r="BQ145" i="1"/>
  <c r="BQ93" i="1"/>
  <c r="BQ61" i="1"/>
  <c r="CI161" i="1"/>
  <c r="BQ150" i="1"/>
  <c r="CM91" i="1"/>
  <c r="CI77" i="1"/>
  <c r="CI19" i="1"/>
  <c r="AU176" i="1"/>
  <c r="CI197" i="1"/>
  <c r="CN209" i="1" s="1"/>
  <c r="O12" i="1"/>
  <c r="BS12" i="1"/>
  <c r="CM77" i="1"/>
  <c r="AQ55" i="1"/>
  <c r="K202" i="1"/>
  <c r="AD33" i="1"/>
  <c r="BQ202" i="1"/>
  <c r="CC12" i="1"/>
  <c r="CM155" i="1"/>
  <c r="CM71" i="1"/>
  <c r="CP127" i="1"/>
  <c r="BR146" i="1"/>
  <c r="H57" i="1"/>
  <c r="AD19" i="1"/>
  <c r="H64" i="1"/>
  <c r="CM21" i="1"/>
  <c r="BX202" i="1"/>
  <c r="BX195" i="1"/>
  <c r="BX179" i="1"/>
  <c r="BX163" i="1"/>
  <c r="BX147" i="1"/>
  <c r="BX131" i="1"/>
  <c r="BX115" i="1"/>
  <c r="BX99" i="1"/>
  <c r="BX83" i="1"/>
  <c r="BX67" i="1"/>
  <c r="BX51" i="1"/>
  <c r="BX35" i="1"/>
  <c r="BX19" i="1"/>
  <c r="BP200" i="1"/>
  <c r="BP184" i="1"/>
  <c r="BP168" i="1"/>
  <c r="BP152" i="1"/>
  <c r="BP136" i="1"/>
  <c r="BP120" i="1"/>
  <c r="BX189" i="1"/>
  <c r="BX173" i="1"/>
  <c r="BX157" i="1"/>
  <c r="BX141" i="1"/>
  <c r="BX125" i="1"/>
  <c r="BX109" i="1"/>
  <c r="BX93" i="1"/>
  <c r="BX77" i="1"/>
  <c r="BP194" i="1"/>
  <c r="BP178" i="1"/>
  <c r="BP162" i="1"/>
  <c r="BP146" i="1"/>
  <c r="BP130" i="1"/>
  <c r="BX114" i="1"/>
  <c r="BX98" i="1"/>
  <c r="BP82" i="1"/>
  <c r="BP66" i="1"/>
  <c r="BX50" i="1"/>
  <c r="BX34" i="1"/>
  <c r="BP18" i="1"/>
  <c r="BR55" i="1"/>
  <c r="BR19" i="1"/>
  <c r="AD64" i="1"/>
  <c r="BQ201" i="1"/>
  <c r="CM158" i="1"/>
  <c r="CM142" i="1"/>
  <c r="CM126" i="1"/>
  <c r="CM106" i="1"/>
  <c r="CM74" i="1"/>
  <c r="CM42" i="1"/>
  <c r="CM31" i="1"/>
  <c r="BQ174" i="1"/>
  <c r="CM131" i="1"/>
  <c r="BQ122" i="1"/>
  <c r="BQ90" i="1"/>
  <c r="CM184" i="1"/>
  <c r="CM164" i="1"/>
  <c r="CM132" i="1"/>
  <c r="CM116" i="1"/>
  <c r="CM100" i="1"/>
  <c r="CM84" i="1"/>
  <c r="CM68" i="1"/>
  <c r="CM52" i="1"/>
  <c r="AU20" i="1"/>
  <c r="CC119" i="1"/>
  <c r="BR119" i="1"/>
  <c r="AD119" i="1"/>
  <c r="CM171" i="1"/>
  <c r="CI180" i="1"/>
  <c r="CI173" i="1"/>
  <c r="CI182" i="1"/>
  <c r="CI181" i="1"/>
  <c r="CI171" i="1"/>
  <c r="CI172" i="1"/>
  <c r="CI174" i="1"/>
  <c r="CI177" i="1"/>
  <c r="CI175" i="1"/>
  <c r="CI179" i="1"/>
  <c r="CI178" i="1"/>
  <c r="CI176" i="1"/>
  <c r="CM27" i="1"/>
  <c r="CI31" i="1"/>
  <c r="CI32" i="1"/>
  <c r="CI34" i="1"/>
  <c r="CI37" i="1"/>
  <c r="CI35" i="1"/>
  <c r="CI36" i="1"/>
  <c r="CI29" i="1"/>
  <c r="CI38" i="1"/>
  <c r="CI28" i="1"/>
  <c r="CI30" i="1"/>
  <c r="CI27" i="1"/>
  <c r="CI33" i="1"/>
  <c r="CC139" i="1"/>
  <c r="AD139" i="1"/>
  <c r="H139" i="1"/>
  <c r="BR139" i="1"/>
  <c r="CC112" i="1"/>
  <c r="AQ112" i="1"/>
  <c r="CC96" i="1"/>
  <c r="H96" i="1"/>
  <c r="CC97" i="1"/>
  <c r="O97" i="1"/>
  <c r="CC77" i="1"/>
  <c r="BR77" i="1"/>
  <c r="CC118" i="1"/>
  <c r="H118" i="1"/>
  <c r="BS10" i="1"/>
  <c r="AQ10" i="1"/>
  <c r="AD10" i="1"/>
  <c r="H10" i="1"/>
  <c r="CC109" i="1"/>
  <c r="AF109" i="1"/>
  <c r="AQ109" i="1"/>
  <c r="AQ139" i="1"/>
  <c r="H62" i="1"/>
  <c r="CM134" i="1"/>
  <c r="CM82" i="1"/>
  <c r="BQ27" i="1"/>
  <c r="BQ119" i="1"/>
  <c r="BQ87" i="1"/>
  <c r="BQ55" i="1"/>
  <c r="K68" i="1"/>
  <c r="CC6" i="1"/>
  <c r="BR6" i="1"/>
  <c r="O92" i="1"/>
  <c r="AF77" i="1"/>
  <c r="BR118" i="1"/>
  <c r="H47" i="1"/>
  <c r="AF47" i="1"/>
  <c r="CC107" i="1"/>
  <c r="CM125" i="1"/>
  <c r="CM169" i="1"/>
  <c r="CP129" i="1"/>
  <c r="CM129" i="1"/>
  <c r="BQ141" i="1"/>
  <c r="BQ30" i="1"/>
  <c r="BQ76" i="1"/>
  <c r="CP109" i="1"/>
  <c r="CM109" i="1"/>
  <c r="CM175" i="1"/>
  <c r="CJ186" i="1"/>
  <c r="BQ130" i="1"/>
  <c r="CP87" i="1"/>
  <c r="CM87" i="1"/>
  <c r="CI95" i="1"/>
  <c r="CI96" i="1"/>
  <c r="CI98" i="1"/>
  <c r="CI97" i="1"/>
  <c r="CI87" i="1"/>
  <c r="CI88" i="1"/>
  <c r="CI90" i="1"/>
  <c r="CI92" i="1"/>
  <c r="CI89" i="1"/>
  <c r="CN89" i="1" s="1"/>
  <c r="CI94" i="1"/>
  <c r="CI93" i="1"/>
  <c r="CI91" i="1"/>
  <c r="CM93" i="1"/>
  <c r="CM180" i="1"/>
  <c r="CP128" i="1"/>
  <c r="CM128" i="1"/>
  <c r="CP96" i="1"/>
  <c r="CM96" i="1"/>
  <c r="CP32" i="1"/>
  <c r="CM32" i="1"/>
  <c r="CM150" i="1"/>
  <c r="CM98" i="1"/>
  <c r="CM66" i="1"/>
  <c r="CM34" i="1"/>
  <c r="CM139" i="1"/>
  <c r="CP139" i="1"/>
  <c r="BQ135" i="1"/>
  <c r="BQ103" i="1"/>
  <c r="BQ71" i="1"/>
  <c r="CC199" i="1"/>
  <c r="H199" i="1"/>
  <c r="CC183" i="1"/>
  <c r="AF183" i="1"/>
  <c r="K192" i="1"/>
  <c r="CC129" i="1"/>
  <c r="BR129" i="1"/>
  <c r="CC162" i="1"/>
  <c r="AF162" i="1"/>
  <c r="AQ162" i="1"/>
  <c r="CC98" i="1"/>
  <c r="AF98" i="1"/>
  <c r="H98" i="1"/>
  <c r="AD98" i="1"/>
  <c r="BR98" i="1"/>
  <c r="O183" i="1"/>
  <c r="BR112" i="1"/>
  <c r="O113" i="1"/>
  <c r="BR10" i="1"/>
  <c r="AF96" i="1"/>
  <c r="AD148" i="1"/>
  <c r="H134" i="1"/>
  <c r="CP142" i="1"/>
  <c r="H183" i="1"/>
  <c r="AQ148" i="1"/>
  <c r="AD109" i="1"/>
  <c r="AQ98" i="1"/>
  <c r="O65" i="1"/>
  <c r="BR96" i="1"/>
  <c r="AF148" i="1"/>
  <c r="O134" i="1"/>
  <c r="H129" i="1"/>
  <c r="H97" i="1"/>
  <c r="AQ77" i="1"/>
  <c r="CP77" i="1"/>
  <c r="AD120" i="1"/>
  <c r="H120" i="1"/>
  <c r="AF107" i="1"/>
  <c r="BQ192" i="1"/>
  <c r="BQ116" i="1"/>
  <c r="CM59" i="1"/>
  <c r="BQ189" i="1"/>
  <c r="CM162" i="1"/>
  <c r="CP162" i="1"/>
  <c r="CM146" i="1"/>
  <c r="CM110" i="1"/>
  <c r="CM94" i="1"/>
  <c r="CP94" i="1"/>
  <c r="CM78" i="1"/>
  <c r="CM62" i="1"/>
  <c r="CM46" i="1"/>
  <c r="CM30" i="1"/>
  <c r="CM19" i="1"/>
  <c r="CM65" i="1"/>
  <c r="CM63" i="1"/>
  <c r="CI63" i="1"/>
  <c r="CI64" i="1"/>
  <c r="CI66" i="1"/>
  <c r="CI67" i="1"/>
  <c r="CI68" i="1"/>
  <c r="CI70" i="1"/>
  <c r="CI71" i="1"/>
  <c r="CI73" i="1"/>
  <c r="CI74" i="1"/>
  <c r="CI72" i="1"/>
  <c r="CI69" i="1"/>
  <c r="CI65" i="1"/>
  <c r="CN77" i="1" s="1"/>
  <c r="CM39" i="1"/>
  <c r="CI41" i="1"/>
  <c r="CI43" i="1"/>
  <c r="CI44" i="1"/>
  <c r="CI49" i="1"/>
  <c r="CI46" i="1"/>
  <c r="CI45" i="1"/>
  <c r="CI47" i="1"/>
  <c r="CI39" i="1"/>
  <c r="CI42" i="1"/>
  <c r="CN42" i="1" s="1"/>
  <c r="CI40" i="1"/>
  <c r="CI50" i="1"/>
  <c r="CI48" i="1"/>
  <c r="BQ198" i="1"/>
  <c r="BQ178" i="1"/>
  <c r="CM135" i="1"/>
  <c r="CI139" i="1"/>
  <c r="CI140" i="1"/>
  <c r="CI142" i="1"/>
  <c r="CI143" i="1"/>
  <c r="CI141" i="1"/>
  <c r="CI145" i="1"/>
  <c r="CI135" i="1"/>
  <c r="CI146" i="1"/>
  <c r="CI144" i="1"/>
  <c r="CI137" i="1"/>
  <c r="CI138" i="1"/>
  <c r="CI136" i="1"/>
  <c r="BQ110" i="1"/>
  <c r="BQ163" i="1"/>
  <c r="BQ147" i="1"/>
  <c r="CP101" i="1"/>
  <c r="CM101" i="1"/>
  <c r="CP112" i="1"/>
  <c r="CM112" i="1"/>
  <c r="CP64" i="1"/>
  <c r="CM64" i="1"/>
  <c r="CM50" i="1"/>
  <c r="CM123" i="1"/>
  <c r="CI125" i="1"/>
  <c r="CI127" i="1"/>
  <c r="CI128" i="1"/>
  <c r="CI130" i="1"/>
  <c r="CI133" i="1"/>
  <c r="CI129" i="1"/>
  <c r="CI131" i="1"/>
  <c r="CI132" i="1"/>
  <c r="CI134" i="1"/>
  <c r="CI124" i="1"/>
  <c r="CI126" i="1"/>
  <c r="CI123" i="1"/>
  <c r="BQ151" i="1"/>
  <c r="K59" i="1"/>
  <c r="CC92" i="1"/>
  <c r="AQ92" i="1"/>
  <c r="K52" i="1"/>
  <c r="AQ134" i="1"/>
  <c r="AF134" i="1"/>
  <c r="BR181" i="1"/>
  <c r="AQ107" i="1"/>
  <c r="CP98" i="1"/>
  <c r="CP47" i="1"/>
  <c r="AD92" i="1"/>
  <c r="AQ6" i="1"/>
  <c r="AQ199" i="1"/>
  <c r="H148" i="1"/>
  <c r="CP134" i="1"/>
  <c r="O129" i="1"/>
  <c r="AD97" i="1"/>
  <c r="AF65" i="1"/>
  <c r="CC141" i="1"/>
  <c r="H141" i="1"/>
  <c r="CC5" i="1"/>
  <c r="BR5" i="1"/>
  <c r="O139" i="1"/>
  <c r="BQ167" i="1"/>
  <c r="AF139" i="1"/>
  <c r="O4" i="1"/>
  <c r="BR4" i="1"/>
  <c r="BQ160" i="1"/>
  <c r="CM35" i="1"/>
  <c r="K204" i="1"/>
  <c r="CC127" i="1"/>
  <c r="O127" i="1"/>
  <c r="CC101" i="1"/>
  <c r="O101" i="1"/>
  <c r="AD101" i="1"/>
  <c r="BR101" i="1"/>
  <c r="CC106" i="1"/>
  <c r="H106" i="1"/>
  <c r="CC128" i="1"/>
  <c r="AQ128" i="1"/>
  <c r="CP181" i="1"/>
  <c r="O148" i="1"/>
  <c r="BQ164" i="1"/>
  <c r="BQ188" i="1"/>
  <c r="CM90" i="1"/>
  <c r="CJ101" i="1"/>
  <c r="CM58" i="1"/>
  <c r="CP58" i="1"/>
  <c r="CM18" i="1"/>
  <c r="CM113" i="1"/>
  <c r="CM51" i="1"/>
  <c r="CI52" i="1"/>
  <c r="CI54" i="1"/>
  <c r="CI61" i="1"/>
  <c r="CI55" i="1"/>
  <c r="CI56" i="1"/>
  <c r="CI58" i="1"/>
  <c r="CI57" i="1"/>
  <c r="CI60" i="1"/>
  <c r="CI62" i="1"/>
  <c r="CI59" i="1"/>
  <c r="CI53" i="1"/>
  <c r="CI51" i="1"/>
  <c r="BQ194" i="1"/>
  <c r="BQ47" i="1"/>
  <c r="BQ144" i="1"/>
  <c r="BQ36" i="1"/>
  <c r="AD183" i="1"/>
  <c r="BR134" i="1"/>
  <c r="BR148" i="1"/>
  <c r="O112" i="1"/>
  <c r="AD129" i="1"/>
  <c r="AQ118" i="1"/>
  <c r="CP34" i="1"/>
  <c r="H6" i="1"/>
  <c r="O6" i="1"/>
  <c r="BR199" i="1"/>
  <c r="O181" i="1"/>
  <c r="H109" i="1"/>
  <c r="AQ97" i="1"/>
  <c r="AQ65" i="1"/>
  <c r="CP65" i="1"/>
  <c r="CM26" i="1"/>
  <c r="CI9" i="1"/>
  <c r="CI11" i="1"/>
  <c r="CI5" i="1"/>
  <c r="CI13" i="1"/>
  <c r="CI12" i="1"/>
  <c r="CI4" i="1"/>
  <c r="CI14" i="1"/>
  <c r="CI6" i="1"/>
  <c r="CI7" i="1"/>
  <c r="CN19" i="1" s="1"/>
  <c r="CI3" i="1"/>
  <c r="CI10" i="1"/>
  <c r="CI8" i="1"/>
  <c r="BS6" i="1"/>
  <c r="CI82" i="1"/>
  <c r="CI83" i="1"/>
  <c r="AQ94" i="1"/>
  <c r="H32" i="1"/>
  <c r="AD69" i="1"/>
  <c r="BQ168" i="1"/>
  <c r="CJ84" i="1"/>
  <c r="CQ84" i="1" s="1"/>
  <c r="CM73" i="1"/>
  <c r="CJ192" i="1"/>
  <c r="CQ192" i="1" s="1"/>
  <c r="CM181" i="1"/>
  <c r="CM161" i="1"/>
  <c r="CM105" i="1"/>
  <c r="BQ46" i="1"/>
  <c r="CM41" i="1"/>
  <c r="CM178" i="1"/>
  <c r="BQ169" i="1"/>
  <c r="BQ153" i="1"/>
  <c r="BQ137" i="1"/>
  <c r="BQ117" i="1"/>
  <c r="BQ85" i="1"/>
  <c r="BQ53" i="1"/>
  <c r="BQ29" i="1"/>
  <c r="BQ62" i="1"/>
  <c r="BQ42" i="1"/>
  <c r="CM187" i="1"/>
  <c r="CM167" i="1"/>
  <c r="CM151" i="1"/>
  <c r="BQ126" i="1"/>
  <c r="CM99" i="1"/>
  <c r="CI101" i="1"/>
  <c r="CI107" i="1"/>
  <c r="CI105" i="1"/>
  <c r="CI108" i="1"/>
  <c r="CI110" i="1"/>
  <c r="CI99" i="1"/>
  <c r="CN99" i="1" s="1"/>
  <c r="CI100" i="1"/>
  <c r="CN100" i="1" s="1"/>
  <c r="CI102" i="1"/>
  <c r="CI103" i="1"/>
  <c r="CM83" i="1"/>
  <c r="CM67" i="1"/>
  <c r="CM33" i="1"/>
  <c r="CM16" i="1"/>
  <c r="CM176" i="1"/>
  <c r="CM156" i="1"/>
  <c r="CM140" i="1"/>
  <c r="CM124" i="1"/>
  <c r="CM108" i="1"/>
  <c r="CP92" i="1"/>
  <c r="CM92" i="1"/>
  <c r="CM76" i="1"/>
  <c r="CM60" i="1"/>
  <c r="CM44" i="1"/>
  <c r="CM28" i="1"/>
  <c r="CM165" i="1"/>
  <c r="CM89" i="1"/>
  <c r="CM45" i="1"/>
  <c r="K131" i="1"/>
  <c r="K95" i="1"/>
  <c r="K140" i="1"/>
  <c r="K17" i="1"/>
  <c r="K94" i="1"/>
  <c r="K74" i="1"/>
  <c r="AU203" i="1"/>
  <c r="AU187" i="1"/>
  <c r="AU155" i="1"/>
  <c r="AU123" i="1"/>
  <c r="AU91" i="1"/>
  <c r="AU59" i="1"/>
  <c r="AU204" i="1"/>
  <c r="AU172" i="1"/>
  <c r="CI104" i="1"/>
  <c r="K188" i="1"/>
  <c r="K84" i="1"/>
  <c r="K64" i="1"/>
  <c r="K48" i="1"/>
  <c r="K193" i="1"/>
  <c r="K54" i="1"/>
  <c r="K38" i="1"/>
  <c r="AU205" i="1"/>
  <c r="CM197" i="1"/>
  <c r="CI106" i="1"/>
  <c r="CI16" i="1"/>
  <c r="BQ131" i="1"/>
  <c r="BQ115" i="1"/>
  <c r="BQ99" i="1"/>
  <c r="BQ83" i="1"/>
  <c r="BQ67" i="1"/>
  <c r="BQ51" i="1"/>
  <c r="BQ31" i="1"/>
  <c r="BQ156" i="1"/>
  <c r="BQ48" i="1"/>
  <c r="K75" i="1"/>
  <c r="AQ95" i="1"/>
  <c r="AF95" i="1"/>
  <c r="CM201" i="1"/>
  <c r="CM166" i="1"/>
  <c r="CM143" i="1"/>
  <c r="CM114" i="1"/>
  <c r="H95" i="1"/>
  <c r="CP130" i="1"/>
  <c r="CM153" i="1"/>
  <c r="CP177" i="1"/>
  <c r="CM177" i="1"/>
  <c r="CM149" i="1"/>
  <c r="CP97" i="1"/>
  <c r="CM97" i="1"/>
  <c r="CM174" i="1"/>
  <c r="BQ133" i="1"/>
  <c r="BQ49" i="1"/>
  <c r="BQ40" i="1"/>
  <c r="BQ38" i="1"/>
  <c r="CM183" i="1"/>
  <c r="CI191" i="1"/>
  <c r="CN191" i="1" s="1"/>
  <c r="CI192" i="1"/>
  <c r="CI194" i="1"/>
  <c r="CN194" i="1" s="1"/>
  <c r="CI183" i="1"/>
  <c r="CI184" i="1"/>
  <c r="CN184" i="1" s="1"/>
  <c r="CI185" i="1"/>
  <c r="CN185" i="1" s="1"/>
  <c r="CI186" i="1"/>
  <c r="CI193" i="1"/>
  <c r="CI188" i="1"/>
  <c r="CI189" i="1"/>
  <c r="CI190" i="1"/>
  <c r="CN190" i="1" s="1"/>
  <c r="CM147" i="1"/>
  <c r="CI148" i="1"/>
  <c r="CI150" i="1"/>
  <c r="CI149" i="1"/>
  <c r="CI151" i="1"/>
  <c r="CI153" i="1"/>
  <c r="CN153" i="1" s="1"/>
  <c r="CI152" i="1"/>
  <c r="CI154" i="1"/>
  <c r="CI157" i="1"/>
  <c r="CN157" i="1" s="1"/>
  <c r="CI156" i="1"/>
  <c r="CN156" i="1" s="1"/>
  <c r="CI158" i="1"/>
  <c r="CM111" i="1"/>
  <c r="CI116" i="1"/>
  <c r="CI121" i="1"/>
  <c r="CI118" i="1"/>
  <c r="CI119" i="1"/>
  <c r="CI113" i="1"/>
  <c r="CI120" i="1"/>
  <c r="CI122" i="1"/>
  <c r="CN122" i="1" s="1"/>
  <c r="CI111" i="1"/>
  <c r="CI117" i="1"/>
  <c r="CN117" i="1" s="1"/>
  <c r="CP95" i="1"/>
  <c r="CM95" i="1"/>
  <c r="CM55" i="1"/>
  <c r="CM172" i="1"/>
  <c r="CP104" i="1"/>
  <c r="CM104" i="1"/>
  <c r="CM20" i="1"/>
  <c r="CM145" i="1"/>
  <c r="CM37" i="1"/>
  <c r="K205" i="1"/>
  <c r="K127" i="1"/>
  <c r="K91" i="1"/>
  <c r="K71" i="1"/>
  <c r="K136" i="1"/>
  <c r="K189" i="1"/>
  <c r="K101" i="1"/>
  <c r="K65" i="1"/>
  <c r="K90" i="1"/>
  <c r="K70" i="1"/>
  <c r="AU179" i="1"/>
  <c r="AU147" i="1"/>
  <c r="AU115" i="1"/>
  <c r="AU83" i="1"/>
  <c r="AU51" i="1"/>
  <c r="AU181" i="1"/>
  <c r="AU149" i="1"/>
  <c r="AU117" i="1"/>
  <c r="AU186" i="1"/>
  <c r="CI18" i="1"/>
  <c r="CI147" i="1"/>
  <c r="CM198" i="1"/>
  <c r="CM196" i="1"/>
  <c r="CI187" i="1"/>
  <c r="CI109" i="1"/>
  <c r="CI112" i="1"/>
  <c r="CM137" i="1"/>
  <c r="CJ200" i="1"/>
  <c r="CQ200" i="1" s="1"/>
  <c r="CM189" i="1"/>
  <c r="CP141" i="1"/>
  <c r="CM141" i="1"/>
  <c r="CM17" i="1"/>
  <c r="CM170" i="1"/>
  <c r="CP118" i="1"/>
  <c r="CM118" i="1"/>
  <c r="BQ88" i="1"/>
  <c r="CM159" i="1"/>
  <c r="CI159" i="1"/>
  <c r="CI169" i="1"/>
  <c r="CI160" i="1"/>
  <c r="CI162" i="1"/>
  <c r="CI163" i="1"/>
  <c r="CI164" i="1"/>
  <c r="CI166" i="1"/>
  <c r="CI167" i="1"/>
  <c r="CP107" i="1"/>
  <c r="CM107" i="1"/>
  <c r="CM75" i="1"/>
  <c r="CI84" i="1"/>
  <c r="CN84" i="1" s="1"/>
  <c r="CI81" i="1"/>
  <c r="CN81" i="1" s="1"/>
  <c r="CI86" i="1"/>
  <c r="CI75" i="1"/>
  <c r="CN75" i="1" s="1"/>
  <c r="CI76" i="1"/>
  <c r="CN76" i="1" s="1"/>
  <c r="CI78" i="1"/>
  <c r="CI85" i="1"/>
  <c r="CN85" i="1" s="1"/>
  <c r="CI79" i="1"/>
  <c r="CM15" i="1"/>
  <c r="CI20" i="1"/>
  <c r="CI22" i="1"/>
  <c r="CI23" i="1"/>
  <c r="CN23" i="1" s="1"/>
  <c r="CI24" i="1"/>
  <c r="CI21" i="1"/>
  <c r="CI26" i="1"/>
  <c r="CN26" i="1" s="1"/>
  <c r="CI15" i="1"/>
  <c r="CI17" i="1"/>
  <c r="CI25" i="1"/>
  <c r="CP148" i="1"/>
  <c r="CM148" i="1"/>
  <c r="CM36" i="1"/>
  <c r="CM133" i="1"/>
  <c r="CP69" i="1"/>
  <c r="CM69" i="1"/>
  <c r="K67" i="1"/>
  <c r="K31" i="1"/>
  <c r="K96" i="1"/>
  <c r="K76" i="1"/>
  <c r="K24" i="1"/>
  <c r="K186" i="1"/>
  <c r="CI114" i="1"/>
  <c r="CI165" i="1"/>
  <c r="CN165" i="1" s="1"/>
  <c r="CI115" i="1"/>
  <c r="CI168" i="1"/>
  <c r="CM195" i="1"/>
  <c r="CM207" i="1"/>
  <c r="CI201" i="1"/>
  <c r="CN201" i="1" s="1"/>
  <c r="CI195" i="1"/>
  <c r="CN207" i="1" s="1"/>
  <c r="CI196" i="1"/>
  <c r="CN208" i="1" s="1"/>
  <c r="CI198" i="1"/>
  <c r="CI199" i="1"/>
  <c r="CN211" i="1" s="1"/>
  <c r="CI170" i="1"/>
  <c r="CI155" i="1"/>
  <c r="CI80" i="1"/>
  <c r="CN80" i="1" s="1"/>
  <c r="AU173" i="1"/>
  <c r="AU178" i="1"/>
  <c r="AU146" i="1"/>
  <c r="AU114" i="1"/>
  <c r="AU82" i="1"/>
  <c r="AU50" i="1"/>
  <c r="AU18" i="1"/>
  <c r="BP191" i="1"/>
  <c r="BP175" i="1"/>
  <c r="BP159" i="1"/>
  <c r="BP143" i="1"/>
  <c r="BP127" i="1"/>
  <c r="BP111" i="1"/>
  <c r="BP95" i="1"/>
  <c r="BP79" i="1"/>
  <c r="BP63" i="1"/>
  <c r="BP47" i="1"/>
  <c r="BP31" i="1"/>
  <c r="CM193" i="1"/>
  <c r="CM205" i="1"/>
  <c r="BX200" i="1"/>
  <c r="BX184" i="1"/>
  <c r="BX168" i="1"/>
  <c r="BX152" i="1"/>
  <c r="BX136" i="1"/>
  <c r="BX120" i="1"/>
  <c r="BX104" i="1"/>
  <c r="BX88" i="1"/>
  <c r="BX72" i="1"/>
  <c r="BX56" i="1"/>
  <c r="BX40" i="1"/>
  <c r="BX24" i="1"/>
  <c r="CM192" i="1"/>
  <c r="CM204" i="1"/>
  <c r="BP201" i="1"/>
  <c r="BP185" i="1"/>
  <c r="BP169" i="1"/>
  <c r="BP153" i="1"/>
  <c r="BP137" i="1"/>
  <c r="BP121" i="1"/>
  <c r="BP105" i="1"/>
  <c r="BP89" i="1"/>
  <c r="BP73" i="1"/>
  <c r="BP57" i="1"/>
  <c r="BP41" i="1"/>
  <c r="BX194" i="1"/>
  <c r="BX178" i="1"/>
  <c r="BX162" i="1"/>
  <c r="BX146" i="1"/>
  <c r="BX130" i="1"/>
  <c r="BP114" i="1"/>
  <c r="BP98" i="1"/>
  <c r="BX82" i="1"/>
  <c r="BX66" i="1"/>
  <c r="BP50" i="1"/>
  <c r="BP34" i="1"/>
  <c r="BX18" i="1"/>
  <c r="CM194" i="1"/>
  <c r="CM206" i="1"/>
  <c r="BX126" i="1"/>
  <c r="BX110" i="1"/>
  <c r="BX62" i="1"/>
  <c r="BX46" i="1"/>
  <c r="BX203" i="1"/>
  <c r="BX187" i="1"/>
  <c r="BX171" i="1"/>
  <c r="BP192" i="1"/>
  <c r="BP176" i="1"/>
  <c r="BP160" i="1"/>
  <c r="BP144" i="1"/>
  <c r="BP128" i="1"/>
  <c r="BP112" i="1"/>
  <c r="BX197" i="1"/>
  <c r="BX181" i="1"/>
  <c r="BX165" i="1"/>
  <c r="BX149" i="1"/>
  <c r="BX133" i="1"/>
  <c r="BX117" i="1"/>
  <c r="BX101" i="1"/>
  <c r="BX85" i="1"/>
  <c r="BX69" i="1"/>
  <c r="BX53" i="1"/>
  <c r="BX37" i="1"/>
  <c r="BP186" i="1"/>
  <c r="BP170" i="1"/>
  <c r="BP154" i="1"/>
  <c r="BP138" i="1"/>
  <c r="BX122" i="1"/>
  <c r="BX106" i="1"/>
  <c r="BP90" i="1"/>
  <c r="BP74" i="1"/>
  <c r="BX58" i="1"/>
  <c r="BX42" i="1"/>
  <c r="BP26" i="1"/>
  <c r="AU140" i="1"/>
  <c r="AU108" i="1"/>
  <c r="AU76" i="1"/>
  <c r="AU189" i="1"/>
  <c r="AU157" i="1"/>
  <c r="AU125" i="1"/>
  <c r="AU93" i="1"/>
  <c r="AU61" i="1"/>
  <c r="AU29" i="1"/>
  <c r="AU194" i="1"/>
  <c r="AU162" i="1"/>
  <c r="AU130" i="1"/>
  <c r="AU98" i="1"/>
  <c r="BP206" i="1"/>
  <c r="BP199" i="1"/>
  <c r="BP183" i="1"/>
  <c r="BP167" i="1"/>
  <c r="BP151" i="1"/>
  <c r="BP135" i="1"/>
  <c r="BP119" i="1"/>
  <c r="BP103" i="1"/>
  <c r="BP87" i="1"/>
  <c r="BP71" i="1"/>
  <c r="BP55" i="1"/>
  <c r="BP39" i="1"/>
  <c r="BP23" i="1"/>
  <c r="BX192" i="1"/>
  <c r="BX176" i="1"/>
  <c r="BX160" i="1"/>
  <c r="BX144" i="1"/>
  <c r="BX128" i="1"/>
  <c r="BX112" i="1"/>
  <c r="BX96" i="1"/>
  <c r="BX80" i="1"/>
  <c r="BX64" i="1"/>
  <c r="BX48" i="1"/>
  <c r="BX32" i="1"/>
  <c r="BX16" i="1"/>
  <c r="BP193" i="1"/>
  <c r="BP177" i="1"/>
  <c r="BP161" i="1"/>
  <c r="BP145" i="1"/>
  <c r="BP129" i="1"/>
  <c r="BP113" i="1"/>
  <c r="BP97" i="1"/>
  <c r="BP81" i="1"/>
  <c r="BP65" i="1"/>
  <c r="BP49" i="1"/>
  <c r="BP33" i="1"/>
  <c r="CM191" i="1"/>
  <c r="CM203" i="1"/>
  <c r="BX186" i="1"/>
  <c r="BX170" i="1"/>
  <c r="BX154" i="1"/>
  <c r="BX138" i="1"/>
  <c r="BP122" i="1"/>
  <c r="BP106" i="1"/>
  <c r="BX90" i="1"/>
  <c r="BX74" i="1"/>
  <c r="BP58" i="1"/>
  <c r="BP42" i="1"/>
  <c r="BX26" i="1"/>
  <c r="CM200" i="1"/>
  <c r="AU154" i="1"/>
  <c r="AU122" i="1"/>
  <c r="AU90" i="1"/>
  <c r="CM199" i="1"/>
  <c r="BX134" i="1"/>
  <c r="BX118" i="1"/>
  <c r="BX70" i="1"/>
  <c r="BX54" i="1"/>
  <c r="AK206" i="1"/>
  <c r="AK205" i="1"/>
  <c r="CI205" i="1"/>
  <c r="CI206" i="1"/>
  <c r="CI204" i="1"/>
  <c r="CN204" i="1" s="1"/>
  <c r="CI203" i="1"/>
  <c r="CI202" i="1"/>
  <c r="CN214" i="1" s="1"/>
  <c r="CC205" i="1"/>
  <c r="BY205" i="1"/>
  <c r="BS34" i="1"/>
  <c r="BQ34" i="1"/>
  <c r="BQ149" i="1"/>
  <c r="BQ113" i="1"/>
  <c r="BS97" i="1"/>
  <c r="BQ97" i="1"/>
  <c r="BQ81" i="1"/>
  <c r="BS65" i="1"/>
  <c r="BQ65" i="1"/>
  <c r="BS92" i="1"/>
  <c r="BQ92" i="1"/>
  <c r="BS58" i="1"/>
  <c r="BQ58" i="1"/>
  <c r="BQ138" i="1"/>
  <c r="K35" i="1"/>
  <c r="K168" i="1"/>
  <c r="K152" i="1"/>
  <c r="K100" i="1"/>
  <c r="K28" i="1"/>
  <c r="K153" i="1"/>
  <c r="K137" i="1"/>
  <c r="K81" i="1"/>
  <c r="K45" i="1"/>
  <c r="K29" i="1"/>
  <c r="K190" i="1"/>
  <c r="K154" i="1"/>
  <c r="K138" i="1"/>
  <c r="K122" i="1"/>
  <c r="K106" i="1"/>
  <c r="BX207" i="1"/>
  <c r="BX188" i="1"/>
  <c r="BX172" i="1"/>
  <c r="BX156" i="1"/>
  <c r="BX140" i="1"/>
  <c r="BX124" i="1"/>
  <c r="BX108" i="1"/>
  <c r="BX92" i="1"/>
  <c r="BX76" i="1"/>
  <c r="BX60" i="1"/>
  <c r="BX44" i="1"/>
  <c r="BX28" i="1"/>
  <c r="AF87" i="1"/>
  <c r="O33" i="1"/>
  <c r="AQ16" i="1"/>
  <c r="AF57" i="1"/>
  <c r="CC204" i="1"/>
  <c r="BY204" i="1"/>
  <c r="BS148" i="1"/>
  <c r="BQ148" i="1"/>
  <c r="BQ200" i="1"/>
  <c r="BS184" i="1"/>
  <c r="BQ184" i="1"/>
  <c r="BQ28" i="1"/>
  <c r="BS197" i="1"/>
  <c r="BQ197" i="1"/>
  <c r="BQ181" i="1"/>
  <c r="BS129" i="1"/>
  <c r="BQ129" i="1"/>
  <c r="BQ170" i="1"/>
  <c r="BQ154" i="1"/>
  <c r="BS118" i="1"/>
  <c r="BQ118" i="1"/>
  <c r="BQ102" i="1"/>
  <c r="BQ86" i="1"/>
  <c r="BQ26" i="1"/>
  <c r="BQ128" i="1"/>
  <c r="BQ195" i="1"/>
  <c r="BQ175" i="1"/>
  <c r="BQ159" i="1"/>
  <c r="BQ143" i="1"/>
  <c r="BS127" i="1"/>
  <c r="BQ127" i="1"/>
  <c r="BQ111" i="1"/>
  <c r="BS95" i="1"/>
  <c r="BQ95" i="1"/>
  <c r="BQ79" i="1"/>
  <c r="BQ63" i="1"/>
  <c r="BQ80" i="1"/>
  <c r="AU21" i="1"/>
  <c r="BP207" i="1"/>
  <c r="BP104" i="1"/>
  <c r="BP88" i="1"/>
  <c r="BP72" i="1"/>
  <c r="BP56" i="1"/>
  <c r="BP40" i="1"/>
  <c r="BP24" i="1"/>
  <c r="BX61" i="1"/>
  <c r="BX45" i="1"/>
  <c r="BX29" i="1"/>
  <c r="BP25" i="1"/>
  <c r="CC203" i="1"/>
  <c r="BY203" i="1"/>
  <c r="BS109" i="1"/>
  <c r="BQ109" i="1"/>
  <c r="BS77" i="1"/>
  <c r="BQ77" i="1"/>
  <c r="BQ45" i="1"/>
  <c r="BQ54" i="1"/>
  <c r="BS134" i="1"/>
  <c r="BQ134" i="1"/>
  <c r="BS32" i="1"/>
  <c r="BQ32" i="1"/>
  <c r="O87" i="1"/>
  <c r="BQ136" i="1"/>
  <c r="BQ196" i="1"/>
  <c r="BQ180" i="1"/>
  <c r="BQ140" i="1"/>
  <c r="BQ193" i="1"/>
  <c r="BS177" i="1"/>
  <c r="BQ177" i="1"/>
  <c r="BQ125" i="1"/>
  <c r="BQ120" i="1"/>
  <c r="BQ186" i="1"/>
  <c r="BQ166" i="1"/>
  <c r="BQ114" i="1"/>
  <c r="BS98" i="1"/>
  <c r="BQ98" i="1"/>
  <c r="BQ82" i="1"/>
  <c r="BS104" i="1"/>
  <c r="BQ104" i="1"/>
  <c r="BQ35" i="1"/>
  <c r="BS112" i="1"/>
  <c r="BQ112" i="1"/>
  <c r="BQ171" i="1"/>
  <c r="BQ155" i="1"/>
  <c r="BS139" i="1"/>
  <c r="BQ139" i="1"/>
  <c r="BQ123" i="1"/>
  <c r="BS107" i="1"/>
  <c r="BQ107" i="1"/>
  <c r="BQ91" i="1"/>
  <c r="BQ75" i="1"/>
  <c r="BQ59" i="1"/>
  <c r="BQ43" i="1"/>
  <c r="BQ132" i="1"/>
  <c r="BQ64" i="1"/>
  <c r="AU199" i="1"/>
  <c r="AU167" i="1"/>
  <c r="AU135" i="1"/>
  <c r="AU103" i="1"/>
  <c r="AU71" i="1"/>
  <c r="AU56" i="1"/>
  <c r="AU201" i="1"/>
  <c r="AU169" i="1"/>
  <c r="AU137" i="1"/>
  <c r="AU105" i="1"/>
  <c r="AU73" i="1"/>
  <c r="AU41" i="1"/>
  <c r="AU174" i="1"/>
  <c r="AU142" i="1"/>
  <c r="AU110" i="1"/>
  <c r="AU78" i="1"/>
  <c r="AU46" i="1"/>
  <c r="BX191" i="1"/>
  <c r="BX175" i="1"/>
  <c r="BX159" i="1"/>
  <c r="BX143" i="1"/>
  <c r="BX127" i="1"/>
  <c r="BX111" i="1"/>
  <c r="BX95" i="1"/>
  <c r="BX79" i="1"/>
  <c r="BX63" i="1"/>
  <c r="BX47" i="1"/>
  <c r="BX31" i="1"/>
  <c r="BX57" i="1"/>
  <c r="BX41" i="1"/>
  <c r="BX25" i="1"/>
  <c r="BR16" i="1"/>
  <c r="BQ70" i="1"/>
  <c r="BQ157" i="1"/>
  <c r="BQ121" i="1"/>
  <c r="BQ105" i="1"/>
  <c r="BQ89" i="1"/>
  <c r="BQ73" i="1"/>
  <c r="BQ57" i="1"/>
  <c r="BQ41" i="1"/>
  <c r="BQ50" i="1"/>
  <c r="CJ97" i="1"/>
  <c r="K160" i="1"/>
  <c r="K108" i="1"/>
  <c r="K161" i="1"/>
  <c r="K145" i="1"/>
  <c r="K109" i="1"/>
  <c r="K93" i="1"/>
  <c r="K73" i="1"/>
  <c r="K37" i="1"/>
  <c r="K162" i="1"/>
  <c r="K146" i="1"/>
  <c r="K130" i="1"/>
  <c r="K114" i="1"/>
  <c r="AU195" i="1"/>
  <c r="AU163" i="1"/>
  <c r="AU131" i="1"/>
  <c r="AU99" i="1"/>
  <c r="AU67" i="1"/>
  <c r="AU37" i="1"/>
  <c r="BP187" i="1"/>
  <c r="BP171" i="1"/>
  <c r="BP155" i="1"/>
  <c r="BP139" i="1"/>
  <c r="BP123" i="1"/>
  <c r="BP107" i="1"/>
  <c r="BP91" i="1"/>
  <c r="BP75" i="1"/>
  <c r="BP59" i="1"/>
  <c r="BP43" i="1"/>
  <c r="BP27" i="1"/>
  <c r="BX196" i="1"/>
  <c r="BX180" i="1"/>
  <c r="BX164" i="1"/>
  <c r="BX148" i="1"/>
  <c r="BX132" i="1"/>
  <c r="BX116" i="1"/>
  <c r="BX100" i="1"/>
  <c r="BX84" i="1"/>
  <c r="BX68" i="1"/>
  <c r="BX52" i="1"/>
  <c r="BX36" i="1"/>
  <c r="BX20" i="1"/>
  <c r="BP197" i="1"/>
  <c r="BP181" i="1"/>
  <c r="BP165" i="1"/>
  <c r="BP85" i="1"/>
  <c r="BP69" i="1"/>
  <c r="BP53" i="1"/>
  <c r="BP37" i="1"/>
  <c r="BP21" i="1"/>
  <c r="BQ173" i="1"/>
  <c r="BQ74" i="1"/>
  <c r="BQ146" i="1"/>
  <c r="CJ54" i="1"/>
  <c r="AD16" i="1"/>
  <c r="BR184" i="1"/>
  <c r="AQ33" i="1"/>
  <c r="BQ84" i="1"/>
  <c r="BQ172" i="1"/>
  <c r="BQ52" i="1"/>
  <c r="BS162" i="1"/>
  <c r="BQ162" i="1"/>
  <c r="BS94" i="1"/>
  <c r="BQ94" i="1"/>
  <c r="BQ78" i="1"/>
  <c r="BQ44" i="1"/>
  <c r="BQ187" i="1"/>
  <c r="BQ39" i="1"/>
  <c r="BQ176" i="1"/>
  <c r="BQ100" i="1"/>
  <c r="BQ56" i="1"/>
  <c r="BQ182" i="1"/>
  <c r="K197" i="1"/>
  <c r="K78" i="1"/>
  <c r="BP203" i="1"/>
  <c r="BX155" i="1"/>
  <c r="BX139" i="1"/>
  <c r="BX123" i="1"/>
  <c r="BX107" i="1"/>
  <c r="BX91" i="1"/>
  <c r="BX75" i="1"/>
  <c r="BX59" i="1"/>
  <c r="BX43" i="1"/>
  <c r="BX27" i="1"/>
  <c r="BP96" i="1"/>
  <c r="BP80" i="1"/>
  <c r="BP64" i="1"/>
  <c r="BP48" i="1"/>
  <c r="BP32" i="1"/>
  <c r="BP16" i="1"/>
  <c r="BX21" i="1"/>
  <c r="CC207" i="1"/>
  <c r="BY207" i="1"/>
  <c r="BS72" i="1"/>
  <c r="BQ72" i="1"/>
  <c r="K88" i="1"/>
  <c r="K125" i="1"/>
  <c r="K178" i="1"/>
  <c r="K22" i="1"/>
  <c r="AU66" i="1"/>
  <c r="AU34" i="1"/>
  <c r="BP17" i="1"/>
  <c r="CJ188" i="1"/>
  <c r="BS101" i="1"/>
  <c r="BQ101" i="1"/>
  <c r="BS69" i="1"/>
  <c r="BQ69" i="1"/>
  <c r="BS124" i="1"/>
  <c r="BQ124" i="1"/>
  <c r="BS142" i="1"/>
  <c r="BQ142" i="1"/>
  <c r="CP33" i="1"/>
  <c r="CP57" i="1"/>
  <c r="CJ71" i="1"/>
  <c r="CQ71" i="1" s="1"/>
  <c r="BR33" i="1"/>
  <c r="AF33" i="1"/>
  <c r="AD41" i="1"/>
  <c r="CC206" i="1"/>
  <c r="BY206" i="1"/>
  <c r="BS60" i="1"/>
  <c r="BQ60" i="1"/>
  <c r="BQ37" i="1"/>
  <c r="BS185" i="1"/>
  <c r="BQ185" i="1"/>
  <c r="BQ158" i="1"/>
  <c r="BS106" i="1"/>
  <c r="BQ106" i="1"/>
  <c r="BS66" i="1"/>
  <c r="BQ66" i="1"/>
  <c r="BS199" i="1"/>
  <c r="BQ199" i="1"/>
  <c r="BS183" i="1"/>
  <c r="BQ183" i="1"/>
  <c r="BS96" i="1"/>
  <c r="BQ96" i="1"/>
  <c r="BQ179" i="1"/>
  <c r="AU183" i="1"/>
  <c r="AU151" i="1"/>
  <c r="AU119" i="1"/>
  <c r="AU87" i="1"/>
  <c r="AU55" i="1"/>
  <c r="AU200" i="1"/>
  <c r="AU168" i="1"/>
  <c r="AU136" i="1"/>
  <c r="AU104" i="1"/>
  <c r="AU72" i="1"/>
  <c r="AU185" i="1"/>
  <c r="AU153" i="1"/>
  <c r="AU121" i="1"/>
  <c r="AU89" i="1"/>
  <c r="AU57" i="1"/>
  <c r="AU25" i="1"/>
  <c r="AU190" i="1"/>
  <c r="AU158" i="1"/>
  <c r="AU126" i="1"/>
  <c r="AU94" i="1"/>
  <c r="AU62" i="1"/>
  <c r="AU30" i="1"/>
  <c r="AU19" i="1"/>
  <c r="BS206" i="1"/>
  <c r="BQ206" i="1"/>
  <c r="BS205" i="1"/>
  <c r="BQ205" i="1"/>
  <c r="BS204" i="1"/>
  <c r="BQ204" i="1"/>
  <c r="BS207" i="1"/>
  <c r="BQ207" i="1"/>
  <c r="BS203" i="1"/>
  <c r="BQ203" i="1"/>
  <c r="AF181" i="1"/>
  <c r="AD117" i="1"/>
  <c r="AD141" i="1"/>
  <c r="O41" i="1"/>
  <c r="O62" i="1"/>
  <c r="AF4" i="1"/>
  <c r="AD46" i="1"/>
  <c r="H128" i="1"/>
  <c r="CP62" i="1"/>
  <c r="O82" i="1"/>
  <c r="BR40" i="1"/>
  <c r="K58" i="1"/>
  <c r="K42" i="1"/>
  <c r="AU191" i="1"/>
  <c r="AU159" i="1"/>
  <c r="AU127" i="1"/>
  <c r="AU95" i="1"/>
  <c r="AU63" i="1"/>
  <c r="AU23" i="1"/>
  <c r="AU144" i="1"/>
  <c r="AU112" i="1"/>
  <c r="AU80" i="1"/>
  <c r="AU48" i="1"/>
  <c r="AU193" i="1"/>
  <c r="AU161" i="1"/>
  <c r="AU129" i="1"/>
  <c r="AU97" i="1"/>
  <c r="AU65" i="1"/>
  <c r="AU33" i="1"/>
  <c r="AU198" i="1"/>
  <c r="AU166" i="1"/>
  <c r="AU134" i="1"/>
  <c r="AU102" i="1"/>
  <c r="AU70" i="1"/>
  <c r="AU38" i="1"/>
  <c r="AQ181" i="1"/>
  <c r="AD181" i="1"/>
  <c r="CP119" i="1"/>
  <c r="BR82" i="1"/>
  <c r="AQ40" i="1"/>
  <c r="O128" i="1"/>
  <c r="CJ185" i="1"/>
  <c r="BS62" i="1"/>
  <c r="CJ93" i="1"/>
  <c r="CJ187" i="1"/>
  <c r="CJ135" i="1"/>
  <c r="CQ135" i="1" s="1"/>
  <c r="CJ69" i="1"/>
  <c r="CJ100" i="1"/>
  <c r="K179" i="1"/>
  <c r="K163" i="1"/>
  <c r="K147" i="1"/>
  <c r="K111" i="1"/>
  <c r="K156" i="1"/>
  <c r="K104" i="1"/>
  <c r="K32" i="1"/>
  <c r="K157" i="1"/>
  <c r="K141" i="1"/>
  <c r="K105" i="1"/>
  <c r="K85" i="1"/>
  <c r="K69" i="1"/>
  <c r="K33" i="1"/>
  <c r="K158" i="1"/>
  <c r="K142" i="1"/>
  <c r="K126" i="1"/>
  <c r="K110" i="1"/>
  <c r="AU44" i="1"/>
  <c r="AU31" i="1"/>
  <c r="CP82" i="1"/>
  <c r="AD62" i="1"/>
  <c r="AF5" i="1"/>
  <c r="BS40" i="1"/>
  <c r="CJ198" i="1"/>
  <c r="K195" i="1"/>
  <c r="O119" i="1"/>
  <c r="BR41" i="1"/>
  <c r="AQ82" i="1"/>
  <c r="AF82" i="1"/>
  <c r="AF62" i="1"/>
  <c r="AQ72" i="1"/>
  <c r="H40" i="1"/>
  <c r="CP5" i="1"/>
  <c r="CJ68" i="1"/>
  <c r="CQ68" i="1" s="1"/>
  <c r="AQ5" i="1"/>
  <c r="BS181" i="1"/>
  <c r="K18" i="1"/>
  <c r="AU40" i="1"/>
  <c r="K121" i="1"/>
  <c r="AU196" i="1"/>
  <c r="AU164" i="1"/>
  <c r="AU132" i="1"/>
  <c r="AU100" i="1"/>
  <c r="AU68" i="1"/>
  <c r="AU85" i="1"/>
  <c r="AU53" i="1"/>
  <c r="AU17" i="1"/>
  <c r="AU58" i="1"/>
  <c r="AU26" i="1"/>
  <c r="AU15" i="1"/>
  <c r="CJ81" i="1"/>
  <c r="CJ155" i="1"/>
  <c r="CQ155" i="1" s="1"/>
  <c r="H119" i="1"/>
  <c r="AD82" i="1"/>
  <c r="BR62" i="1"/>
  <c r="H72" i="1"/>
  <c r="CJ184" i="1"/>
  <c r="CJ197" i="1"/>
  <c r="CJ194" i="1"/>
  <c r="CJ90" i="1"/>
  <c r="CQ90" i="1" s="1"/>
  <c r="CJ66" i="1"/>
  <c r="CJ183" i="1"/>
  <c r="CJ139" i="1"/>
  <c r="CJ99" i="1"/>
  <c r="CJ83" i="1"/>
  <c r="CO83" i="1" s="1"/>
  <c r="CJ67" i="1"/>
  <c r="CQ67" i="1" s="1"/>
  <c r="CJ51" i="1"/>
  <c r="CJ95" i="1"/>
  <c r="AD55" i="1"/>
  <c r="O13" i="1"/>
  <c r="O72" i="1"/>
  <c r="AD40" i="1"/>
  <c r="CP60" i="1"/>
  <c r="H19" i="1"/>
  <c r="CP19" i="1"/>
  <c r="BS128" i="1"/>
  <c r="K87" i="1"/>
  <c r="K51" i="1"/>
  <c r="K200" i="1"/>
  <c r="K184" i="1"/>
  <c r="K132" i="1"/>
  <c r="K80" i="1"/>
  <c r="K185" i="1"/>
  <c r="K86" i="1"/>
  <c r="K66" i="1"/>
  <c r="K50" i="1"/>
  <c r="K34" i="1"/>
  <c r="AU175" i="1"/>
  <c r="AU143" i="1"/>
  <c r="AU111" i="1"/>
  <c r="AU79" i="1"/>
  <c r="AU47" i="1"/>
  <c r="AU207" i="1"/>
  <c r="AU192" i="1"/>
  <c r="AU160" i="1"/>
  <c r="AU128" i="1"/>
  <c r="AU96" i="1"/>
  <c r="AU64" i="1"/>
  <c r="AU177" i="1"/>
  <c r="AU145" i="1"/>
  <c r="AU113" i="1"/>
  <c r="AU81" i="1"/>
  <c r="AU49" i="1"/>
  <c r="AU182" i="1"/>
  <c r="AU150" i="1"/>
  <c r="AU118" i="1"/>
  <c r="AU86" i="1"/>
  <c r="AU54" i="1"/>
  <c r="AU22" i="1"/>
  <c r="CJ191" i="1"/>
  <c r="AF40" i="1"/>
  <c r="CJ196" i="1"/>
  <c r="BS5" i="1"/>
  <c r="CJ86" i="1"/>
  <c r="CQ86" i="1" s="1"/>
  <c r="CJ62" i="1"/>
  <c r="K123" i="1"/>
  <c r="K165" i="1"/>
  <c r="K149" i="1"/>
  <c r="K133" i="1"/>
  <c r="K113" i="1"/>
  <c r="K97" i="1"/>
  <c r="K77" i="1"/>
  <c r="K61" i="1"/>
  <c r="AU171" i="1"/>
  <c r="AU139" i="1"/>
  <c r="AU107" i="1"/>
  <c r="AU75" i="1"/>
  <c r="AU188" i="1"/>
  <c r="AU156" i="1"/>
  <c r="AU124" i="1"/>
  <c r="AU92" i="1"/>
  <c r="AU60" i="1"/>
  <c r="AU141" i="1"/>
  <c r="AU109" i="1"/>
  <c r="AU77" i="1"/>
  <c r="AU45" i="1"/>
  <c r="AU24" i="1"/>
  <c r="O40" i="1"/>
  <c r="H5" i="1"/>
  <c r="BS20" i="1"/>
  <c r="BR72" i="1"/>
  <c r="CJ199" i="1"/>
  <c r="AD72" i="1"/>
  <c r="AD128" i="1"/>
  <c r="CJ193" i="1"/>
  <c r="CQ193" i="1" s="1"/>
  <c r="BR128" i="1"/>
  <c r="AF119" i="1"/>
  <c r="AQ62" i="1"/>
  <c r="AD5" i="1"/>
  <c r="AF72" i="1"/>
  <c r="AQ19" i="1"/>
  <c r="H181" i="1"/>
  <c r="AQ119" i="1"/>
  <c r="AF128" i="1"/>
  <c r="BS82" i="1"/>
  <c r="AU39" i="1"/>
  <c r="AU32" i="1"/>
  <c r="H115" i="1"/>
  <c r="CJ189" i="1"/>
  <c r="CJ111" i="1"/>
  <c r="CJ190" i="1"/>
  <c r="CQ190" i="1" s="1"/>
  <c r="K23" i="1"/>
  <c r="K16" i="1"/>
  <c r="AD115" i="1"/>
  <c r="BR23" i="1"/>
  <c r="CJ63" i="1"/>
  <c r="CP185" i="1"/>
  <c r="CP124" i="1"/>
  <c r="AQ141" i="1"/>
  <c r="BR64" i="1"/>
  <c r="CP46" i="1"/>
  <c r="H46" i="1"/>
  <c r="CJ156" i="1"/>
  <c r="CQ156" i="1" s="1"/>
  <c r="CJ106" i="1"/>
  <c r="CJ96" i="1"/>
  <c r="CJ73" i="1"/>
  <c r="CJ65" i="1"/>
  <c r="CJ47" i="1"/>
  <c r="CJ87" i="1"/>
  <c r="CJ39" i="1"/>
  <c r="CQ39" i="1" s="1"/>
  <c r="CJ56" i="1"/>
  <c r="CJ41" i="1"/>
  <c r="CJ140" i="1"/>
  <c r="K55" i="1"/>
  <c r="K39" i="1"/>
  <c r="K19" i="1"/>
  <c r="K172" i="1"/>
  <c r="K120" i="1"/>
  <c r="K173" i="1"/>
  <c r="K49" i="1"/>
  <c r="K194" i="1"/>
  <c r="K174" i="1"/>
  <c r="AF120" i="1"/>
  <c r="O141" i="1"/>
  <c r="O115" i="1"/>
  <c r="CP55" i="1"/>
  <c r="CP146" i="1"/>
  <c r="H41" i="1"/>
  <c r="CP72" i="1"/>
  <c r="BR46" i="1"/>
  <c r="AF19" i="1"/>
  <c r="O64" i="1"/>
  <c r="BR115" i="1"/>
  <c r="O19" i="1"/>
  <c r="CJ98" i="1"/>
  <c r="BS19" i="1"/>
  <c r="K15" i="1"/>
  <c r="K116" i="1"/>
  <c r="K60" i="1"/>
  <c r="K44" i="1"/>
  <c r="K169" i="1"/>
  <c r="K117" i="1"/>
  <c r="K170" i="1"/>
  <c r="K203" i="1"/>
  <c r="K187" i="1"/>
  <c r="K171" i="1"/>
  <c r="K155" i="1"/>
  <c r="K139" i="1"/>
  <c r="K103" i="1"/>
  <c r="K164" i="1"/>
  <c r="K148" i="1"/>
  <c r="K112" i="1"/>
  <c r="K41" i="1"/>
  <c r="K25" i="1"/>
  <c r="K166" i="1"/>
  <c r="K150" i="1"/>
  <c r="K134" i="1"/>
  <c r="K118" i="1"/>
  <c r="K102" i="1"/>
  <c r="CJ195" i="1"/>
  <c r="CO195" i="1" s="1"/>
  <c r="CP183" i="1"/>
  <c r="AF141" i="1"/>
  <c r="AD146" i="1"/>
  <c r="AF55" i="1"/>
  <c r="CP40" i="1"/>
  <c r="AQ115" i="1"/>
  <c r="CJ44" i="1"/>
  <c r="BS64" i="1"/>
  <c r="K119" i="1"/>
  <c r="K83" i="1"/>
  <c r="K63" i="1"/>
  <c r="K47" i="1"/>
  <c r="K196" i="1"/>
  <c r="K180" i="1"/>
  <c r="K128" i="1"/>
  <c r="K72" i="1"/>
  <c r="K56" i="1"/>
  <c r="K40" i="1"/>
  <c r="K201" i="1"/>
  <c r="K181" i="1"/>
  <c r="CJ50" i="1"/>
  <c r="BR141" i="1"/>
  <c r="K199" i="1"/>
  <c r="K183" i="1"/>
  <c r="K167" i="1"/>
  <c r="K151" i="1"/>
  <c r="K135" i="1"/>
  <c r="K57" i="1"/>
  <c r="K98" i="1"/>
  <c r="O146" i="1"/>
  <c r="AF146" i="1"/>
  <c r="CJ137" i="1"/>
  <c r="CQ137" i="1" s="1"/>
  <c r="AF115" i="1"/>
  <c r="AQ70" i="1"/>
  <c r="CJ180" i="1"/>
  <c r="CQ180" i="1" s="1"/>
  <c r="O55" i="1"/>
  <c r="BS119" i="1"/>
  <c r="BS87" i="1"/>
  <c r="BS55" i="1"/>
  <c r="K115" i="1"/>
  <c r="K79" i="1"/>
  <c r="K43" i="1"/>
  <c r="K207" i="1"/>
  <c r="K176" i="1"/>
  <c r="K124" i="1"/>
  <c r="K36" i="1"/>
  <c r="K177" i="1"/>
  <c r="K89" i="1"/>
  <c r="K53" i="1"/>
  <c r="K198" i="1"/>
  <c r="K26" i="1"/>
  <c r="CJ105" i="1"/>
  <c r="CQ105" i="1" s="1"/>
  <c r="CJ134" i="1"/>
  <c r="CJ92" i="1"/>
  <c r="CJ64" i="1"/>
  <c r="CJ82" i="1"/>
  <c r="CJ77" i="1"/>
  <c r="CJ46" i="1"/>
  <c r="CJ42" i="1"/>
  <c r="CQ42" i="1" s="1"/>
  <c r="CJ75" i="1"/>
  <c r="CQ75" i="1" s="1"/>
  <c r="CJ136" i="1"/>
  <c r="CJ60" i="1"/>
  <c r="CJ141" i="1"/>
  <c r="CJ142" i="1"/>
  <c r="AQ146" i="1"/>
  <c r="O46" i="1"/>
  <c r="CJ133" i="1"/>
  <c r="CQ133" i="1" s="1"/>
  <c r="CJ104" i="1"/>
  <c r="CJ94" i="1"/>
  <c r="CJ80" i="1"/>
  <c r="CJ88" i="1"/>
  <c r="CJ55" i="1"/>
  <c r="CJ58" i="1"/>
  <c r="CJ59" i="1"/>
  <c r="CJ61" i="1"/>
  <c r="CQ61" i="1" s="1"/>
  <c r="CJ138" i="1"/>
  <c r="CQ138" i="1" s="1"/>
  <c r="CJ45" i="1"/>
  <c r="CJ91" i="1"/>
  <c r="CQ91" i="1" s="1"/>
  <c r="CJ113" i="1"/>
  <c r="CJ78" i="1"/>
  <c r="CJ85" i="1"/>
  <c r="CJ40" i="1"/>
  <c r="CJ43" i="1"/>
  <c r="CQ43" i="1" s="1"/>
  <c r="CJ38" i="1"/>
  <c r="CQ38" i="1" s="1"/>
  <c r="CJ48" i="1"/>
  <c r="CJ49" i="1"/>
  <c r="CQ49" i="1" s="1"/>
  <c r="BR173" i="1"/>
  <c r="H173" i="1"/>
  <c r="H146" i="1"/>
  <c r="AF46" i="1"/>
  <c r="CJ164" i="1"/>
  <c r="CQ164" i="1" s="1"/>
  <c r="CJ143" i="1"/>
  <c r="CQ143" i="1" s="1"/>
  <c r="CJ70" i="1"/>
  <c r="CJ108" i="1"/>
  <c r="CQ108" i="1" s="1"/>
  <c r="CJ89" i="1"/>
  <c r="CQ89" i="1" s="1"/>
  <c r="CJ79" i="1"/>
  <c r="CJ72" i="1"/>
  <c r="CJ52" i="1"/>
  <c r="CJ110" i="1"/>
  <c r="CQ110" i="1" s="1"/>
  <c r="CJ109" i="1"/>
  <c r="CJ53" i="1"/>
  <c r="CJ74" i="1"/>
  <c r="CQ74" i="1" s="1"/>
  <c r="CJ76" i="1"/>
  <c r="CO76" i="1" s="1"/>
  <c r="CP173" i="1"/>
  <c r="CJ102" i="1"/>
  <c r="CJ103" i="1"/>
  <c r="H172" i="1"/>
  <c r="CJ107" i="1"/>
  <c r="CJ57" i="1"/>
  <c r="CJ112" i="1"/>
  <c r="BR36" i="1"/>
  <c r="AF48" i="1"/>
  <c r="O198" i="1"/>
  <c r="CC198" i="1"/>
  <c r="CP164" i="1"/>
  <c r="CC164" i="1"/>
  <c r="CP150" i="1"/>
  <c r="CC150" i="1"/>
  <c r="CP76" i="1"/>
  <c r="AF182" i="1"/>
  <c r="CP196" i="1"/>
  <c r="CC196" i="1"/>
  <c r="O182" i="1"/>
  <c r="AF163" i="1"/>
  <c r="CC163" i="1"/>
  <c r="CP147" i="1"/>
  <c r="CC147" i="1"/>
  <c r="H144" i="1"/>
  <c r="CC144" i="1"/>
  <c r="AD79" i="1"/>
  <c r="CC79" i="1"/>
  <c r="BR48" i="1"/>
  <c r="AQ30" i="1"/>
  <c r="CC30" i="1"/>
  <c r="BR130" i="1"/>
  <c r="CC130" i="1"/>
  <c r="AF53" i="1"/>
  <c r="CC53" i="1"/>
  <c r="O173" i="1"/>
  <c r="CC173" i="1"/>
  <c r="AF151" i="1"/>
  <c r="CC151" i="1"/>
  <c r="AD43" i="1"/>
  <c r="CC43" i="1"/>
  <c r="AF172" i="1"/>
  <c r="CC172" i="1"/>
  <c r="CP194" i="1"/>
  <c r="CC194" i="1"/>
  <c r="AD121" i="1"/>
  <c r="CC121" i="1"/>
  <c r="AQ9" i="1"/>
  <c r="BS9" i="1"/>
  <c r="CC9" i="1"/>
  <c r="AD11" i="1"/>
  <c r="CC11" i="1"/>
  <c r="BS11" i="1"/>
  <c r="O85" i="1"/>
  <c r="CC85" i="1"/>
  <c r="BR135" i="1"/>
  <c r="CC135" i="1"/>
  <c r="BS46" i="1"/>
  <c r="BS169" i="1"/>
  <c r="BS153" i="1"/>
  <c r="BS137" i="1"/>
  <c r="BS117" i="1"/>
  <c r="BS85" i="1"/>
  <c r="BS53" i="1"/>
  <c r="BS29" i="1"/>
  <c r="BS74" i="1"/>
  <c r="BS50" i="1"/>
  <c r="BS166" i="1"/>
  <c r="BS114" i="1"/>
  <c r="BS35" i="1"/>
  <c r="BS191" i="1"/>
  <c r="BR201" i="1"/>
  <c r="CC201" i="1"/>
  <c r="BR182" i="1"/>
  <c r="AD182" i="1"/>
  <c r="AQ36" i="1"/>
  <c r="AD195" i="1"/>
  <c r="CC195" i="1"/>
  <c r="H182" i="1"/>
  <c r="BR166" i="1"/>
  <c r="CC166" i="1"/>
  <c r="CP161" i="1"/>
  <c r="CC161" i="1"/>
  <c r="H76" i="1"/>
  <c r="AQ29" i="1"/>
  <c r="CC29" i="1"/>
  <c r="O52" i="1"/>
  <c r="CC52" i="1"/>
  <c r="BR138" i="1"/>
  <c r="CC138" i="1"/>
  <c r="H188" i="1"/>
  <c r="CC188" i="1"/>
  <c r="AQ145" i="1"/>
  <c r="CC145" i="1"/>
  <c r="CP73" i="1"/>
  <c r="CC73" i="1"/>
  <c r="O123" i="1"/>
  <c r="CC123" i="1"/>
  <c r="AQ189" i="1"/>
  <c r="CC189" i="1"/>
  <c r="AF78" i="1"/>
  <c r="CC78" i="1"/>
  <c r="AD67" i="1"/>
  <c r="CC67" i="1"/>
  <c r="BR80" i="1"/>
  <c r="CC80" i="1"/>
  <c r="BR59" i="1"/>
  <c r="CC59" i="1"/>
  <c r="O70" i="1"/>
  <c r="CC70" i="1"/>
  <c r="AD56" i="1"/>
  <c r="CC56" i="1"/>
  <c r="O54" i="1"/>
  <c r="CC54" i="1"/>
  <c r="AF71" i="1"/>
  <c r="CC71" i="1"/>
  <c r="BS202" i="1"/>
  <c r="BS36" i="1"/>
  <c r="BS188" i="1"/>
  <c r="BS160" i="1"/>
  <c r="BS108" i="1"/>
  <c r="BS37" i="1"/>
  <c r="BS201" i="1"/>
  <c r="BS198" i="1"/>
  <c r="BS182" i="1"/>
  <c r="BS146" i="1"/>
  <c r="BS130" i="1"/>
  <c r="BS171" i="1"/>
  <c r="BS155" i="1"/>
  <c r="BS123" i="1"/>
  <c r="BS91" i="1"/>
  <c r="BS75" i="1"/>
  <c r="BS59" i="1"/>
  <c r="BS43" i="1"/>
  <c r="BS15" i="1"/>
  <c r="BS132" i="1"/>
  <c r="CP160" i="1"/>
  <c r="CC160" i="1"/>
  <c r="CP91" i="1"/>
  <c r="CC91" i="1"/>
  <c r="AQ182" i="1"/>
  <c r="AQ48" i="1"/>
  <c r="BR180" i="1"/>
  <c r="CC180" i="1"/>
  <c r="CP165" i="1"/>
  <c r="CC165" i="1"/>
  <c r="BR122" i="1"/>
  <c r="CC122" i="1"/>
  <c r="BR45" i="1"/>
  <c r="CC45" i="1"/>
  <c r="AQ21" i="1"/>
  <c r="CC21" i="1"/>
  <c r="AQ4" i="1"/>
  <c r="CC4" i="1"/>
  <c r="BS4" i="1"/>
  <c r="CP120" i="1"/>
  <c r="CC120" i="1"/>
  <c r="AD108" i="1"/>
  <c r="CC108" i="1"/>
  <c r="CP7" i="1"/>
  <c r="BS7" i="1"/>
  <c r="CC7" i="1"/>
  <c r="AD178" i="1"/>
  <c r="CC178" i="1"/>
  <c r="O26" i="1"/>
  <c r="CC26" i="1"/>
  <c r="BR38" i="1"/>
  <c r="CC38" i="1"/>
  <c r="O47" i="1"/>
  <c r="CC47" i="1"/>
  <c r="BS33" i="1"/>
  <c r="BS165" i="1"/>
  <c r="BS149" i="1"/>
  <c r="BS133" i="1"/>
  <c r="BS113" i="1"/>
  <c r="BS81" i="1"/>
  <c r="BS49" i="1"/>
  <c r="BS21" i="1"/>
  <c r="BS42" i="1"/>
  <c r="BS178" i="1"/>
  <c r="BS110" i="1"/>
  <c r="BS78" i="1"/>
  <c r="BS44" i="1"/>
  <c r="BS27" i="1"/>
  <c r="BS68" i="1"/>
  <c r="BS187" i="1"/>
  <c r="AQ41" i="1"/>
  <c r="CC41" i="1"/>
  <c r="CC202" i="1"/>
  <c r="BS136" i="1"/>
  <c r="BS200" i="1"/>
  <c r="BS152" i="1"/>
  <c r="BS28" i="1"/>
  <c r="BS194" i="1"/>
  <c r="BS126" i="1"/>
  <c r="BS167" i="1"/>
  <c r="BS151" i="1"/>
  <c r="BS135" i="1"/>
  <c r="BS103" i="1"/>
  <c r="BS71" i="1"/>
  <c r="BS39" i="1"/>
  <c r="BS176" i="1"/>
  <c r="BS100" i="1"/>
  <c r="BS56" i="1"/>
  <c r="CP89" i="1"/>
  <c r="CC89" i="1"/>
  <c r="BR3" i="1"/>
  <c r="CC3" i="1"/>
  <c r="BS3" i="1"/>
  <c r="BR102" i="1"/>
  <c r="CC102" i="1"/>
  <c r="CP44" i="1"/>
  <c r="CC44" i="1"/>
  <c r="BR125" i="1"/>
  <c r="CC125" i="1"/>
  <c r="CP158" i="1"/>
  <c r="CC158" i="1"/>
  <c r="H48" i="1"/>
  <c r="AF200" i="1"/>
  <c r="CC200" i="1"/>
  <c r="H175" i="1"/>
  <c r="CC175" i="1"/>
  <c r="H159" i="1"/>
  <c r="CC159" i="1"/>
  <c r="BR168" i="1"/>
  <c r="CC168" i="1"/>
  <c r="AQ157" i="1"/>
  <c r="CC157" i="1"/>
  <c r="AQ143" i="1"/>
  <c r="CC143" i="1"/>
  <c r="H116" i="1"/>
  <c r="CC116" i="1"/>
  <c r="CP86" i="1"/>
  <c r="CC86" i="1"/>
  <c r="AF13" i="1"/>
  <c r="AD36" i="1"/>
  <c r="AD176" i="1"/>
  <c r="CC176" i="1"/>
  <c r="H23" i="1"/>
  <c r="CC23" i="1"/>
  <c r="BR114" i="1"/>
  <c r="CC114" i="1"/>
  <c r="CP27" i="1"/>
  <c r="CC27" i="1"/>
  <c r="CP16" i="1"/>
  <c r="CC16" i="1"/>
  <c r="AF156" i="1"/>
  <c r="CC156" i="1"/>
  <c r="CP103" i="1"/>
  <c r="CC103" i="1"/>
  <c r="BS25" i="1"/>
  <c r="BS22" i="1"/>
  <c r="BS161" i="1"/>
  <c r="BS145" i="1"/>
  <c r="BS93" i="1"/>
  <c r="BS61" i="1"/>
  <c r="BS45" i="1"/>
  <c r="BS17" i="1"/>
  <c r="BS88" i="1"/>
  <c r="BS16" i="1"/>
  <c r="BS38" i="1"/>
  <c r="BS174" i="1"/>
  <c r="BS158" i="1"/>
  <c r="BS122" i="1"/>
  <c r="BS90" i="1"/>
  <c r="BS23" i="1"/>
  <c r="CP48" i="1"/>
  <c r="BR37" i="1"/>
  <c r="CC37" i="1"/>
  <c r="CP100" i="1"/>
  <c r="CC100" i="1"/>
  <c r="CP68" i="1"/>
  <c r="CC68" i="1"/>
  <c r="H88" i="1"/>
  <c r="CC88" i="1"/>
  <c r="CP36" i="1"/>
  <c r="CC36" i="1"/>
  <c r="AF36" i="1"/>
  <c r="O48" i="1"/>
  <c r="CP155" i="1"/>
  <c r="CC155" i="1"/>
  <c r="BR137" i="1"/>
  <c r="CC137" i="1"/>
  <c r="AD84" i="1"/>
  <c r="CC84" i="1"/>
  <c r="BR191" i="1"/>
  <c r="CC191" i="1"/>
  <c r="AF99" i="1"/>
  <c r="CC99" i="1"/>
  <c r="O63" i="1"/>
  <c r="CC63" i="1"/>
  <c r="O39" i="1"/>
  <c r="CC39" i="1"/>
  <c r="CP49" i="1"/>
  <c r="CC49" i="1"/>
  <c r="CP136" i="1"/>
  <c r="CC136" i="1"/>
  <c r="CP193" i="1"/>
  <c r="CC193" i="1"/>
  <c r="AD113" i="1"/>
  <c r="CC113" i="1"/>
  <c r="O117" i="1"/>
  <c r="CC117" i="1"/>
  <c r="AF28" i="1"/>
  <c r="CC28" i="1"/>
  <c r="BS84" i="1"/>
  <c r="BS196" i="1"/>
  <c r="BS180" i="1"/>
  <c r="BS140" i="1"/>
  <c r="BS18" i="1"/>
  <c r="BS193" i="1"/>
  <c r="BS125" i="1"/>
  <c r="BS190" i="1"/>
  <c r="BS138" i="1"/>
  <c r="BS163" i="1"/>
  <c r="BS147" i="1"/>
  <c r="BS131" i="1"/>
  <c r="BS115" i="1"/>
  <c r="BS99" i="1"/>
  <c r="BS83" i="1"/>
  <c r="BS67" i="1"/>
  <c r="BS51" i="1"/>
  <c r="BS31" i="1"/>
  <c r="BS156" i="1"/>
  <c r="BS48" i="1"/>
  <c r="AQ17" i="1"/>
  <c r="CC17" i="1"/>
  <c r="O126" i="1"/>
  <c r="CC126" i="1"/>
  <c r="O76" i="1"/>
  <c r="CC76" i="1"/>
  <c r="AD13" i="1"/>
  <c r="CC13" i="1"/>
  <c r="BS13" i="1"/>
  <c r="CP182" i="1"/>
  <c r="AF158" i="1"/>
  <c r="O158" i="1"/>
  <c r="CP37" i="1"/>
  <c r="AD48" i="1"/>
  <c r="BR190" i="1"/>
  <c r="CC190" i="1"/>
  <c r="H152" i="1"/>
  <c r="CC152" i="1"/>
  <c r="CP132" i="1"/>
  <c r="CC132" i="1"/>
  <c r="CP83" i="1"/>
  <c r="CC83" i="1"/>
  <c r="H133" i="1"/>
  <c r="CC133" i="1"/>
  <c r="CP140" i="1"/>
  <c r="CC140" i="1"/>
  <c r="H35" i="1"/>
  <c r="CC35" i="1"/>
  <c r="AD186" i="1"/>
  <c r="CC186" i="1"/>
  <c r="O74" i="1"/>
  <c r="CC74" i="1"/>
  <c r="BR154" i="1"/>
  <c r="CC154" i="1"/>
  <c r="AQ61" i="1"/>
  <c r="CC61" i="1"/>
  <c r="O15" i="1"/>
  <c r="CC15" i="1"/>
  <c r="AQ57" i="1"/>
  <c r="CC57" i="1"/>
  <c r="AQ110" i="1"/>
  <c r="CC110" i="1"/>
  <c r="BR75" i="1"/>
  <c r="CC75" i="1"/>
  <c r="AD14" i="1"/>
  <c r="CC14" i="1"/>
  <c r="AF22" i="1"/>
  <c r="CC22" i="1"/>
  <c r="BR111" i="1"/>
  <c r="CC111" i="1"/>
  <c r="O51" i="1"/>
  <c r="CC51" i="1"/>
  <c r="BS168" i="1"/>
  <c r="BS70" i="1"/>
  <c r="BS173" i="1"/>
  <c r="BS157" i="1"/>
  <c r="BS141" i="1"/>
  <c r="BS121" i="1"/>
  <c r="BS105" i="1"/>
  <c r="BS89" i="1"/>
  <c r="BS73" i="1"/>
  <c r="BS57" i="1"/>
  <c r="BS41" i="1"/>
  <c r="BS30" i="1"/>
  <c r="BS76" i="1"/>
  <c r="BS54" i="1"/>
  <c r="BS14" i="1"/>
  <c r="BS170" i="1"/>
  <c r="BS154" i="1"/>
  <c r="BS102" i="1"/>
  <c r="BS86" i="1"/>
  <c r="BS26" i="1"/>
  <c r="BS195" i="1"/>
  <c r="BS179" i="1"/>
  <c r="AQ187" i="1"/>
  <c r="CC187" i="1"/>
  <c r="BR158" i="1"/>
  <c r="AF131" i="1"/>
  <c r="CC131" i="1"/>
  <c r="CP81" i="1"/>
  <c r="CC81" i="1"/>
  <c r="BR31" i="1"/>
  <c r="CC31" i="1"/>
  <c r="CC42" i="1"/>
  <c r="H36" i="1"/>
  <c r="AQ24" i="1"/>
  <c r="CC24" i="1"/>
  <c r="BR174" i="1"/>
  <c r="CC174" i="1"/>
  <c r="O153" i="1"/>
  <c r="CC153" i="1"/>
  <c r="AD50" i="1"/>
  <c r="CC50" i="1"/>
  <c r="AQ93" i="1"/>
  <c r="CC93" i="1"/>
  <c r="AF170" i="1"/>
  <c r="CC170" i="1"/>
  <c r="O18" i="1"/>
  <c r="CC18" i="1"/>
  <c r="AQ20" i="1"/>
  <c r="CC20" i="1"/>
  <c r="H105" i="1"/>
  <c r="CC105" i="1"/>
  <c r="AF25" i="1"/>
  <c r="CC25" i="1"/>
  <c r="AF149" i="1"/>
  <c r="CC149" i="1"/>
  <c r="BS164" i="1"/>
  <c r="BS192" i="1"/>
  <c r="BS172" i="1"/>
  <c r="BS116" i="1"/>
  <c r="BS52" i="1"/>
  <c r="BS189" i="1"/>
  <c r="BS120" i="1"/>
  <c r="BS186" i="1"/>
  <c r="BS150" i="1"/>
  <c r="BS175" i="1"/>
  <c r="BS159" i="1"/>
  <c r="BS143" i="1"/>
  <c r="BS111" i="1"/>
  <c r="BS79" i="1"/>
  <c r="BS63" i="1"/>
  <c r="BS47" i="1"/>
  <c r="BS144" i="1"/>
  <c r="BS80" i="1"/>
  <c r="BS24" i="1"/>
  <c r="AD35" i="1"/>
  <c r="CP15" i="1"/>
  <c r="H75" i="1"/>
  <c r="BR51" i="1"/>
  <c r="O75" i="1"/>
  <c r="BR15" i="1"/>
  <c r="AD75" i="1"/>
  <c r="AF110" i="1"/>
  <c r="AQ75" i="1"/>
  <c r="CP75" i="1"/>
  <c r="AF75" i="1"/>
  <c r="AD57" i="1"/>
  <c r="AQ15" i="1"/>
  <c r="CP22" i="1"/>
  <c r="O111" i="1"/>
  <c r="AQ50" i="1"/>
  <c r="AD130" i="1"/>
  <c r="O57" i="1"/>
  <c r="AD15" i="1"/>
  <c r="AF15" i="1"/>
  <c r="O93" i="1"/>
  <c r="CP50" i="1"/>
  <c r="BR93" i="1"/>
  <c r="BR50" i="1"/>
  <c r="O174" i="1"/>
  <c r="AD105" i="1"/>
  <c r="H50" i="1"/>
  <c r="BR153" i="1"/>
  <c r="CP153" i="1"/>
  <c r="CP93" i="1"/>
  <c r="O50" i="1"/>
  <c r="BR105" i="1"/>
  <c r="H174" i="1"/>
  <c r="AF153" i="1"/>
  <c r="AD174" i="1"/>
  <c r="AF93" i="1"/>
  <c r="AQ153" i="1"/>
  <c r="AF174" i="1"/>
  <c r="AD153" i="1"/>
  <c r="AD93" i="1"/>
  <c r="CP188" i="1"/>
  <c r="O188" i="1"/>
  <c r="AQ188" i="1"/>
  <c r="AQ73" i="1"/>
  <c r="BR188" i="1"/>
  <c r="O73" i="1"/>
  <c r="CP174" i="1"/>
  <c r="AF188" i="1"/>
  <c r="CP151" i="1"/>
  <c r="BR120" i="1"/>
  <c r="AD138" i="1"/>
  <c r="AF121" i="1"/>
  <c r="AQ52" i="1"/>
  <c r="AQ79" i="1"/>
  <c r="H73" i="1"/>
  <c r="AF50" i="1"/>
  <c r="H43" i="1"/>
  <c r="AQ174" i="1"/>
  <c r="H145" i="1"/>
  <c r="CP52" i="1"/>
  <c r="H52" i="1"/>
  <c r="AQ11" i="1"/>
  <c r="CP11" i="1"/>
  <c r="BR11" i="1"/>
  <c r="AF11" i="1"/>
  <c r="AD188" i="1"/>
  <c r="AF138" i="1"/>
  <c r="O120" i="1"/>
  <c r="BR73" i="1"/>
  <c r="BR52" i="1"/>
  <c r="AF43" i="1"/>
  <c r="O145" i="1"/>
  <c r="O138" i="1"/>
  <c r="AD194" i="1"/>
  <c r="CP145" i="1"/>
  <c r="AF73" i="1"/>
  <c r="H11" i="1"/>
  <c r="H138" i="1"/>
  <c r="BR145" i="1"/>
  <c r="AF145" i="1"/>
  <c r="CP4" i="1"/>
  <c r="AQ120" i="1"/>
  <c r="AD73" i="1"/>
  <c r="CP138" i="1"/>
  <c r="AD52" i="1"/>
  <c r="O80" i="1"/>
  <c r="AF70" i="1"/>
  <c r="AF54" i="1"/>
  <c r="CP176" i="1"/>
  <c r="AF67" i="1"/>
  <c r="BR70" i="1"/>
  <c r="BR54" i="1"/>
  <c r="AF189" i="1"/>
  <c r="CP70" i="1"/>
  <c r="BR56" i="1"/>
  <c r="AQ56" i="1"/>
  <c r="CP56" i="1"/>
  <c r="CP54" i="1"/>
  <c r="H56" i="1"/>
  <c r="AQ54" i="1"/>
  <c r="O56" i="1"/>
  <c r="H70" i="1"/>
  <c r="H54" i="1"/>
  <c r="AF176" i="1"/>
  <c r="H123" i="1"/>
  <c r="AF123" i="1"/>
  <c r="BR176" i="1"/>
  <c r="CP121" i="1"/>
  <c r="H78" i="1"/>
  <c r="AQ176" i="1"/>
  <c r="BR110" i="1"/>
  <c r="BR78" i="1"/>
  <c r="H176" i="1"/>
  <c r="H189" i="1"/>
  <c r="O121" i="1"/>
  <c r="O156" i="1"/>
  <c r="O176" i="1"/>
  <c r="H110" i="1"/>
  <c r="O189" i="1"/>
  <c r="H154" i="1"/>
  <c r="AH39" i="1"/>
  <c r="AQ173" i="1"/>
  <c r="AD173" i="1"/>
  <c r="O110" i="1"/>
  <c r="AQ103" i="1"/>
  <c r="AD123" i="1"/>
  <c r="AF154" i="1"/>
  <c r="BR121" i="1"/>
  <c r="CP74" i="1"/>
  <c r="CP67" i="1"/>
  <c r="BR43" i="1"/>
  <c r="BR67" i="1"/>
  <c r="AD189" i="1"/>
  <c r="H121" i="1"/>
  <c r="AQ53" i="1"/>
  <c r="AQ151" i="1"/>
  <c r="AQ121" i="1"/>
  <c r="O61" i="1"/>
  <c r="AQ78" i="1"/>
  <c r="AQ43" i="1"/>
  <c r="AH93" i="1"/>
  <c r="BR189" i="1"/>
  <c r="AD151" i="1"/>
  <c r="CP123" i="1"/>
  <c r="AH95" i="1"/>
  <c r="CP172" i="1"/>
  <c r="AQ123" i="1"/>
  <c r="O59" i="1"/>
  <c r="AD24" i="1"/>
  <c r="O78" i="1"/>
  <c r="O43" i="1"/>
  <c r="H67" i="1"/>
  <c r="AH128" i="1"/>
  <c r="CP189" i="1"/>
  <c r="AD172" i="1"/>
  <c r="AD110" i="1"/>
  <c r="CP78" i="1"/>
  <c r="CP59" i="1"/>
  <c r="AQ186" i="1"/>
  <c r="BR172" i="1"/>
  <c r="CP110" i="1"/>
  <c r="O53" i="1"/>
  <c r="CP43" i="1"/>
  <c r="AD78" i="1"/>
  <c r="O67" i="1"/>
  <c r="O172" i="1"/>
  <c r="CP53" i="1"/>
  <c r="O186" i="1"/>
  <c r="BR123" i="1"/>
  <c r="BR53" i="1"/>
  <c r="AQ67" i="1"/>
  <c r="AF74" i="1"/>
  <c r="AQ137" i="1"/>
  <c r="AQ42" i="1"/>
  <c r="AF137" i="1"/>
  <c r="O16" i="1"/>
  <c r="BR13" i="1"/>
  <c r="CP111" i="1"/>
  <c r="H13" i="1"/>
  <c r="BR140" i="1"/>
  <c r="BR149" i="1"/>
  <c r="CP99" i="1"/>
  <c r="O105" i="1"/>
  <c r="BR63" i="1"/>
  <c r="H49" i="1"/>
  <c r="BR39" i="1"/>
  <c r="O35" i="1"/>
  <c r="BR25" i="1"/>
  <c r="AQ149" i="1"/>
  <c r="AQ49" i="1"/>
  <c r="CP191" i="1"/>
  <c r="O140" i="1"/>
  <c r="O99" i="1"/>
  <c r="CP39" i="1"/>
  <c r="AF105" i="1"/>
  <c r="AD63" i="1"/>
  <c r="AD39" i="1"/>
  <c r="AQ25" i="1"/>
  <c r="AF35" i="1"/>
  <c r="H191" i="1"/>
  <c r="H140" i="1"/>
  <c r="O133" i="1"/>
  <c r="H99" i="1"/>
  <c r="AQ39" i="1"/>
  <c r="BR79" i="1"/>
  <c r="AD3" i="1"/>
  <c r="AD25" i="1"/>
  <c r="BR35" i="1"/>
  <c r="AQ133" i="1"/>
  <c r="BR99" i="1"/>
  <c r="O71" i="1"/>
  <c r="H39" i="1"/>
  <c r="AF140" i="1"/>
  <c r="H25" i="1"/>
  <c r="O25" i="1"/>
  <c r="O191" i="1"/>
  <c r="AD133" i="1"/>
  <c r="CP63" i="1"/>
  <c r="AD191" i="1"/>
  <c r="AQ140" i="1"/>
  <c r="O149" i="1"/>
  <c r="AD140" i="1"/>
  <c r="BR136" i="1"/>
  <c r="AF133" i="1"/>
  <c r="AQ63" i="1"/>
  <c r="AQ105" i="1"/>
  <c r="AQ35" i="1"/>
  <c r="AF191" i="1"/>
  <c r="AD149" i="1"/>
  <c r="BR133" i="1"/>
  <c r="CP105" i="1"/>
  <c r="CP35" i="1"/>
  <c r="CP133" i="1"/>
  <c r="AF49" i="1"/>
  <c r="CP149" i="1"/>
  <c r="H149" i="1"/>
  <c r="AH23" i="1"/>
  <c r="O49" i="1"/>
  <c r="AD49" i="1"/>
  <c r="AF114" i="1"/>
  <c r="H85" i="1"/>
  <c r="AQ114" i="1"/>
  <c r="AD71" i="1"/>
  <c r="CP170" i="1"/>
  <c r="AQ85" i="1"/>
  <c r="BR170" i="1"/>
  <c r="AH194" i="1"/>
  <c r="O114" i="1"/>
  <c r="H71" i="1"/>
  <c r="AD100" i="1"/>
  <c r="AD114" i="1"/>
  <c r="AH57" i="1"/>
  <c r="AD170" i="1"/>
  <c r="O68" i="1"/>
  <c r="O170" i="1"/>
  <c r="CP88" i="1"/>
  <c r="H170" i="1"/>
  <c r="CP71" i="1"/>
  <c r="AQ170" i="1"/>
  <c r="AQ71" i="1"/>
  <c r="BR71" i="1"/>
  <c r="CP114" i="1"/>
  <c r="AH22" i="1"/>
  <c r="CP135" i="1"/>
  <c r="AF111" i="1"/>
  <c r="O28" i="1"/>
  <c r="AQ51" i="1"/>
  <c r="BR20" i="1"/>
  <c r="O88" i="1"/>
  <c r="O193" i="1"/>
  <c r="AD111" i="1"/>
  <c r="BR44" i="1"/>
  <c r="AF68" i="1"/>
  <c r="BR88" i="1"/>
  <c r="H51" i="1"/>
  <c r="AF88" i="1"/>
  <c r="AD190" i="1"/>
  <c r="AF126" i="1"/>
  <c r="CP80" i="1"/>
  <c r="AD51" i="1"/>
  <c r="BR28" i="1"/>
  <c r="O14" i="1"/>
  <c r="CP126" i="1"/>
  <c r="CP51" i="1"/>
  <c r="AD28" i="1"/>
  <c r="AQ100" i="1"/>
  <c r="H111" i="1"/>
  <c r="CP125" i="1"/>
  <c r="O125" i="1"/>
  <c r="AF44" i="1"/>
  <c r="AD80" i="1"/>
  <c r="CP28" i="1"/>
  <c r="AF20" i="1"/>
  <c r="BR193" i="1"/>
  <c r="AD136" i="1"/>
  <c r="O136" i="1"/>
  <c r="AD125" i="1"/>
  <c r="BR14" i="1"/>
  <c r="H136" i="1"/>
  <c r="AQ44" i="1"/>
  <c r="AF125" i="1"/>
  <c r="AF14" i="1"/>
  <c r="AQ88" i="1"/>
  <c r="AF136" i="1"/>
  <c r="AQ111" i="1"/>
  <c r="AD126" i="1"/>
  <c r="O100" i="1"/>
  <c r="AQ125" i="1"/>
  <c r="AD44" i="1"/>
  <c r="H80" i="1"/>
  <c r="H28" i="1"/>
  <c r="H14" i="1"/>
  <c r="AF51" i="1"/>
  <c r="AD20" i="1"/>
  <c r="AH69" i="1"/>
  <c r="AF193" i="1"/>
  <c r="H126" i="1"/>
  <c r="O20" i="1"/>
  <c r="AQ126" i="1"/>
  <c r="BR126" i="1"/>
  <c r="H100" i="1"/>
  <c r="H125" i="1"/>
  <c r="AD88" i="1"/>
  <c r="AD193" i="1"/>
  <c r="AQ136" i="1"/>
  <c r="H20" i="1"/>
  <c r="CP20" i="1"/>
  <c r="H193" i="1"/>
  <c r="BR100" i="1"/>
  <c r="AF100" i="1"/>
  <c r="BR68" i="1"/>
  <c r="AD68" i="1"/>
  <c r="AF80" i="1"/>
  <c r="AQ28" i="1"/>
  <c r="CP31" i="1"/>
  <c r="AH109" i="1"/>
  <c r="CP14" i="1"/>
  <c r="H16" i="1"/>
  <c r="CJ207" i="1"/>
  <c r="H167" i="1"/>
  <c r="AQ193" i="1"/>
  <c r="AQ68" i="1"/>
  <c r="AF79" i="1"/>
  <c r="AQ80" i="1"/>
  <c r="AQ14" i="1"/>
  <c r="CP41" i="1"/>
  <c r="H186" i="1"/>
  <c r="O135" i="1"/>
  <c r="AD158" i="1"/>
  <c r="H158" i="1"/>
  <c r="AQ135" i="1"/>
  <c r="BR131" i="1"/>
  <c r="AD116" i="1"/>
  <c r="BR103" i="1"/>
  <c r="O154" i="1"/>
  <c r="BR117" i="1"/>
  <c r="CP116" i="1"/>
  <c r="O103" i="1"/>
  <c r="H61" i="1"/>
  <c r="AQ113" i="1"/>
  <c r="AQ74" i="1"/>
  <c r="H130" i="1"/>
  <c r="AF130" i="1"/>
  <c r="BR85" i="1"/>
  <c r="AD76" i="1"/>
  <c r="AD74" i="1"/>
  <c r="AD59" i="1"/>
  <c r="AD23" i="1"/>
  <c r="AF23" i="1"/>
  <c r="CP23" i="1"/>
  <c r="O22" i="1"/>
  <c r="AD38" i="1"/>
  <c r="AF194" i="1"/>
  <c r="AQ158" i="1"/>
  <c r="AD156" i="1"/>
  <c r="AF135" i="1"/>
  <c r="H74" i="1"/>
  <c r="AF85" i="1"/>
  <c r="H9" i="1"/>
  <c r="AD53" i="1"/>
  <c r="BR9" i="1"/>
  <c r="BR194" i="1"/>
  <c r="H135" i="1"/>
  <c r="BR156" i="1"/>
  <c r="CP157" i="1"/>
  <c r="AD131" i="1"/>
  <c r="CP117" i="1"/>
  <c r="AF103" i="1"/>
  <c r="AQ154" i="1"/>
  <c r="AQ117" i="1"/>
  <c r="H103" i="1"/>
  <c r="AQ76" i="1"/>
  <c r="BR113" i="1"/>
  <c r="CP113" i="1"/>
  <c r="O130" i="1"/>
  <c r="AQ59" i="1"/>
  <c r="AF59" i="1"/>
  <c r="AD26" i="1"/>
  <c r="AD22" i="1"/>
  <c r="AQ26" i="1"/>
  <c r="AF24" i="1"/>
  <c r="AQ22" i="1"/>
  <c r="AD9" i="1"/>
  <c r="O23" i="1"/>
  <c r="H22" i="1"/>
  <c r="AF38" i="1"/>
  <c r="AQ194" i="1"/>
  <c r="AQ156" i="1"/>
  <c r="AD135" i="1"/>
  <c r="AD85" i="1"/>
  <c r="BR22" i="1"/>
  <c r="AF9" i="1"/>
  <c r="CP85" i="1"/>
  <c r="H156" i="1"/>
  <c r="O192" i="1"/>
  <c r="O194" i="1"/>
  <c r="BR186" i="1"/>
  <c r="CP186" i="1"/>
  <c r="AF117" i="1"/>
  <c r="AD103" i="1"/>
  <c r="CP154" i="1"/>
  <c r="AD154" i="1"/>
  <c r="H113" i="1"/>
  <c r="BR76" i="1"/>
  <c r="AQ130" i="1"/>
  <c r="BR74" i="1"/>
  <c r="H59" i="1"/>
  <c r="BR24" i="1"/>
  <c r="CP38" i="1"/>
  <c r="AF26" i="1"/>
  <c r="O9" i="1"/>
  <c r="AQ38" i="1"/>
  <c r="H38" i="1"/>
  <c r="AF186" i="1"/>
  <c r="CP156" i="1"/>
  <c r="AF61" i="1"/>
  <c r="CP61" i="1"/>
  <c r="AD122" i="1"/>
  <c r="CP190" i="1"/>
  <c r="AH89" i="1"/>
  <c r="AH49" i="1"/>
  <c r="AD61" i="1"/>
  <c r="AF190" i="1"/>
  <c r="AQ195" i="1"/>
  <c r="BR144" i="1"/>
  <c r="H3" i="1"/>
  <c r="AH55" i="1"/>
  <c r="CP195" i="1"/>
  <c r="AQ131" i="1"/>
  <c r="CP79" i="1"/>
  <c r="H164" i="1"/>
  <c r="BR195" i="1"/>
  <c r="AF195" i="1"/>
  <c r="H190" i="1"/>
  <c r="O190" i="1"/>
  <c r="O37" i="1"/>
  <c r="O3" i="1"/>
  <c r="AD99" i="1"/>
  <c r="AD180" i="1"/>
  <c r="AD144" i="1"/>
  <c r="O31" i="1"/>
  <c r="H31" i="1"/>
  <c r="H68" i="1"/>
  <c r="H26" i="1"/>
  <c r="BR26" i="1"/>
  <c r="AD200" i="1"/>
  <c r="CP178" i="1"/>
  <c r="AQ160" i="1"/>
  <c r="AQ31" i="1"/>
  <c r="BR91" i="1"/>
  <c r="CP21" i="1"/>
  <c r="BR169" i="1"/>
  <c r="AF171" i="1"/>
  <c r="O178" i="1"/>
  <c r="BR27" i="1"/>
  <c r="AF18" i="1"/>
  <c r="H178" i="1"/>
  <c r="AD18" i="1"/>
  <c r="O169" i="1"/>
  <c r="AF27" i="1"/>
  <c r="AQ169" i="1"/>
  <c r="BR81" i="1"/>
  <c r="BR18" i="1"/>
  <c r="AD27" i="1"/>
  <c r="AQ108" i="1"/>
  <c r="CP24" i="1"/>
  <c r="AD167" i="1"/>
  <c r="O102" i="1"/>
  <c r="AQ27" i="1"/>
  <c r="H7" i="1"/>
  <c r="BR151" i="1"/>
  <c r="AD202" i="1"/>
  <c r="AQ178" i="1"/>
  <c r="H192" i="1"/>
  <c r="BR178" i="1"/>
  <c r="H169" i="1"/>
  <c r="H180" i="1"/>
  <c r="AF164" i="1"/>
  <c r="H91" i="1"/>
  <c r="CP169" i="1"/>
  <c r="CP144" i="1"/>
  <c r="AD164" i="1"/>
  <c r="AF178" i="1"/>
  <c r="AQ175" i="1"/>
  <c r="O108" i="1"/>
  <c r="O91" i="1"/>
  <c r="O29" i="1"/>
  <c r="CJ178" i="1"/>
  <c r="CJ132" i="1"/>
  <c r="H108" i="1"/>
  <c r="O45" i="1"/>
  <c r="BR42" i="1"/>
  <c r="H29" i="1"/>
  <c r="BR7" i="1"/>
  <c r="CP9" i="1"/>
  <c r="BR29" i="1"/>
  <c r="AH124" i="1"/>
  <c r="CP108" i="1"/>
  <c r="AQ164" i="1"/>
  <c r="CP102" i="1"/>
  <c r="H45" i="1"/>
  <c r="CJ126" i="1"/>
  <c r="CQ186" i="1"/>
  <c r="CJ127" i="1"/>
  <c r="AH115" i="1"/>
  <c r="AF169" i="1"/>
  <c r="BR147" i="1"/>
  <c r="AD175" i="1"/>
  <c r="AD42" i="1"/>
  <c r="AD91" i="1"/>
  <c r="AD29" i="1"/>
  <c r="AQ7" i="1"/>
  <c r="AD169" i="1"/>
  <c r="AD159" i="1"/>
  <c r="O201" i="1"/>
  <c r="AF175" i="1"/>
  <c r="O81" i="1"/>
  <c r="AF91" i="1"/>
  <c r="AF7" i="1"/>
  <c r="CJ130" i="1"/>
  <c r="CP18" i="1"/>
  <c r="AH87" i="1"/>
  <c r="H151" i="1"/>
  <c r="O196" i="1"/>
  <c r="O144" i="1"/>
  <c r="BR164" i="1"/>
  <c r="BR108" i="1"/>
  <c r="H102" i="1"/>
  <c r="AF108" i="1"/>
  <c r="O175" i="1"/>
  <c r="AQ102" i="1"/>
  <c r="AD7" i="1"/>
  <c r="CP29" i="1"/>
  <c r="O7" i="1"/>
  <c r="CJ161" i="1"/>
  <c r="AF102" i="1"/>
  <c r="CJ129" i="1"/>
  <c r="CJ35" i="1"/>
  <c r="O24" i="1"/>
  <c r="H27" i="1"/>
  <c r="H198" i="1"/>
  <c r="BR192" i="1"/>
  <c r="H196" i="1"/>
  <c r="AF144" i="1"/>
  <c r="CP175" i="1"/>
  <c r="AQ84" i="1"/>
  <c r="AQ91" i="1"/>
  <c r="O83" i="1"/>
  <c r="AF29" i="1"/>
  <c r="CP3" i="1"/>
  <c r="AQ18" i="1"/>
  <c r="CJ163" i="1"/>
  <c r="AD102" i="1"/>
  <c r="O27" i="1"/>
  <c r="AH116" i="1"/>
  <c r="O161" i="1"/>
  <c r="H161" i="1"/>
  <c r="CJ201" i="1"/>
  <c r="AD152" i="1"/>
  <c r="BR84" i="1"/>
  <c r="AF3" i="1"/>
  <c r="H44" i="1"/>
  <c r="CJ119" i="1"/>
  <c r="AQ198" i="1"/>
  <c r="AF161" i="1"/>
  <c r="O167" i="1"/>
  <c r="BR89" i="1"/>
  <c r="O122" i="1"/>
  <c r="AQ3" i="1"/>
  <c r="CJ158" i="1"/>
  <c r="H18" i="1"/>
  <c r="O180" i="1"/>
  <c r="AF159" i="1"/>
  <c r="BR150" i="1"/>
  <c r="H201" i="1"/>
  <c r="AD137" i="1"/>
  <c r="BR175" i="1"/>
  <c r="CP42" i="1"/>
  <c r="AF42" i="1"/>
  <c r="AD21" i="1"/>
  <c r="CJ165" i="1"/>
  <c r="CP143" i="1"/>
  <c r="CJ114" i="1"/>
  <c r="AO206" i="1"/>
  <c r="CJ147" i="1"/>
  <c r="CJ123" i="1"/>
  <c r="CP200" i="1"/>
  <c r="AQ190" i="1"/>
  <c r="AF180" i="1"/>
  <c r="O164" i="1"/>
  <c r="AH97" i="1"/>
  <c r="CJ128" i="1"/>
  <c r="H63" i="1"/>
  <c r="BR202" i="1"/>
  <c r="O202" i="1"/>
  <c r="AF202" i="1"/>
  <c r="BR200" i="1"/>
  <c r="BR159" i="1"/>
  <c r="AD201" i="1"/>
  <c r="O159" i="1"/>
  <c r="AF150" i="1"/>
  <c r="AQ122" i="1"/>
  <c r="CJ131" i="1"/>
  <c r="O151" i="1"/>
  <c r="H24" i="1"/>
  <c r="H202" i="1"/>
  <c r="AF201" i="1"/>
  <c r="AD150" i="1"/>
  <c r="CP90" i="1"/>
  <c r="CP122" i="1"/>
  <c r="AF84" i="1"/>
  <c r="H17" i="1"/>
  <c r="BR30" i="1"/>
  <c r="CJ174" i="1"/>
  <c r="CJ153" i="1"/>
  <c r="CJ118" i="1"/>
  <c r="CJ122" i="1"/>
  <c r="AF122" i="1"/>
  <c r="AQ180" i="1"/>
  <c r="CP137" i="1"/>
  <c r="AQ201" i="1"/>
  <c r="CP201" i="1"/>
  <c r="CP115" i="1"/>
  <c r="H122" i="1"/>
  <c r="CJ28" i="1"/>
  <c r="CP179" i="1"/>
  <c r="O187" i="1"/>
  <c r="AD163" i="1"/>
  <c r="BR90" i="1"/>
  <c r="AQ86" i="1"/>
  <c r="BR83" i="1"/>
  <c r="AQ132" i="1"/>
  <c r="AH6" i="1"/>
  <c r="O179" i="1"/>
  <c r="AD155" i="1"/>
  <c r="H155" i="1"/>
  <c r="H147" i="1"/>
  <c r="AH101" i="1"/>
  <c r="AO205" i="1"/>
  <c r="H187" i="1"/>
  <c r="AQ155" i="1"/>
  <c r="O132" i="1"/>
  <c r="H37" i="1"/>
  <c r="AQ37" i="1"/>
  <c r="AF30" i="1"/>
  <c r="AF179" i="1"/>
  <c r="H179" i="1"/>
  <c r="AF147" i="1"/>
  <c r="AQ90" i="1"/>
  <c r="AQ83" i="1"/>
  <c r="AD179" i="1"/>
  <c r="BR187" i="1"/>
  <c r="BR152" i="1"/>
  <c r="BR163" i="1"/>
  <c r="AD161" i="1"/>
  <c r="BR155" i="1"/>
  <c r="AD147" i="1"/>
  <c r="AQ168" i="1"/>
  <c r="O152" i="1"/>
  <c r="H132" i="1"/>
  <c r="BR132" i="1"/>
  <c r="O116" i="1"/>
  <c r="AD90" i="1"/>
  <c r="H81" i="1"/>
  <c r="H86" i="1"/>
  <c r="AF86" i="1"/>
  <c r="AD83" i="1"/>
  <c r="BR17" i="1"/>
  <c r="AD30" i="1"/>
  <c r="AF90" i="1"/>
  <c r="AD86" i="1"/>
  <c r="AD17" i="1"/>
  <c r="BR167" i="1"/>
  <c r="AQ147" i="1"/>
  <c r="AF167" i="1"/>
  <c r="AF155" i="1"/>
  <c r="AF152" i="1"/>
  <c r="O155" i="1"/>
  <c r="O147" i="1"/>
  <c r="AF116" i="1"/>
  <c r="O86" i="1"/>
  <c r="BR86" i="1"/>
  <c r="H83" i="1"/>
  <c r="AF83" i="1"/>
  <c r="O17" i="1"/>
  <c r="BR165" i="1"/>
  <c r="CJ206" i="1"/>
  <c r="O195" i="1"/>
  <c r="H195" i="1"/>
  <c r="AQ200" i="1"/>
  <c r="O200" i="1"/>
  <c r="H200" i="1"/>
  <c r="CP192" i="1"/>
  <c r="AQ192" i="1"/>
  <c r="AF192" i="1"/>
  <c r="AD192" i="1"/>
  <c r="CP180" i="1"/>
  <c r="CJ175" i="1"/>
  <c r="O166" i="1"/>
  <c r="H166" i="1"/>
  <c r="AQ166" i="1"/>
  <c r="AF166" i="1"/>
  <c r="AD166" i="1"/>
  <c r="CP159" i="1"/>
  <c r="AQ159" i="1"/>
  <c r="CJ181" i="1"/>
  <c r="CP167" i="1"/>
  <c r="AQ167" i="1"/>
  <c r="BR161" i="1"/>
  <c r="AQ161" i="1"/>
  <c r="CJ170" i="1"/>
  <c r="CJ160" i="1"/>
  <c r="AQ150" i="1"/>
  <c r="O150" i="1"/>
  <c r="H150" i="1"/>
  <c r="CJ151" i="1"/>
  <c r="CJ159" i="1"/>
  <c r="CJ157" i="1"/>
  <c r="CJ162" i="1"/>
  <c r="AF143" i="1"/>
  <c r="AD143" i="1"/>
  <c r="O143" i="1"/>
  <c r="H143" i="1"/>
  <c r="AF132" i="1"/>
  <c r="AD132" i="1"/>
  <c r="CJ125" i="1"/>
  <c r="BR143" i="1"/>
  <c r="CJ152" i="1"/>
  <c r="CJ120" i="1"/>
  <c r="CP30" i="1"/>
  <c r="O30" i="1"/>
  <c r="H30" i="1"/>
  <c r="AF17" i="1"/>
  <c r="CP17" i="1"/>
  <c r="AF37" i="1"/>
  <c r="AD37" i="1"/>
  <c r="CP198" i="1"/>
  <c r="AF198" i="1"/>
  <c r="AD198" i="1"/>
  <c r="BR198" i="1"/>
  <c r="CP171" i="1"/>
  <c r="AQ171" i="1"/>
  <c r="AD171" i="1"/>
  <c r="O171" i="1"/>
  <c r="H171" i="1"/>
  <c r="CJ177" i="1"/>
  <c r="CP166" i="1"/>
  <c r="CJ176" i="1"/>
  <c r="CJ171" i="1"/>
  <c r="CJ172" i="1"/>
  <c r="AQ144" i="1"/>
  <c r="CJ167" i="1"/>
  <c r="CJ149" i="1"/>
  <c r="CJ146" i="1"/>
  <c r="CJ144" i="1"/>
  <c r="CJ150" i="1"/>
  <c r="BR116" i="1"/>
  <c r="AQ116" i="1"/>
  <c r="CJ121" i="1"/>
  <c r="AF81" i="1"/>
  <c r="AD81" i="1"/>
  <c r="AQ81" i="1"/>
  <c r="CJ115" i="1"/>
  <c r="CQ187" i="1"/>
  <c r="AF187" i="1"/>
  <c r="AD187" i="1"/>
  <c r="CP187" i="1"/>
  <c r="BR179" i="1"/>
  <c r="AQ179" i="1"/>
  <c r="BR171" i="1"/>
  <c r="O165" i="1"/>
  <c r="H165" i="1"/>
  <c r="AQ165" i="1"/>
  <c r="AF165" i="1"/>
  <c r="AD165" i="1"/>
  <c r="CJ179" i="1"/>
  <c r="CP168" i="1"/>
  <c r="CJ169" i="1"/>
  <c r="CJ168" i="1"/>
  <c r="AQ152" i="1"/>
  <c r="CJ166" i="1"/>
  <c r="CP152" i="1"/>
  <c r="O137" i="1"/>
  <c r="H137" i="1"/>
  <c r="CP131" i="1"/>
  <c r="O131" i="1"/>
  <c r="H131" i="1"/>
  <c r="CJ148" i="1"/>
  <c r="CJ124" i="1"/>
  <c r="CJ116" i="1"/>
  <c r="CJ117" i="1"/>
  <c r="O79" i="1"/>
  <c r="H79" i="1"/>
  <c r="O90" i="1"/>
  <c r="H90" i="1"/>
  <c r="AH64" i="1"/>
  <c r="AF31" i="1"/>
  <c r="AD31" i="1"/>
  <c r="CJ37" i="1"/>
  <c r="CP26" i="1"/>
  <c r="AQ196" i="1"/>
  <c r="AF196" i="1"/>
  <c r="AD196" i="1"/>
  <c r="BR196" i="1"/>
  <c r="CJ182" i="1"/>
  <c r="BR160" i="1"/>
  <c r="O160" i="1"/>
  <c r="H160" i="1"/>
  <c r="AF160" i="1"/>
  <c r="AD160" i="1"/>
  <c r="AF168" i="1"/>
  <c r="AD168" i="1"/>
  <c r="O168" i="1"/>
  <c r="H168" i="1"/>
  <c r="CP163" i="1"/>
  <c r="AQ163" i="1"/>
  <c r="O163" i="1"/>
  <c r="H163" i="1"/>
  <c r="CJ173" i="1"/>
  <c r="AF157" i="1"/>
  <c r="AD157" i="1"/>
  <c r="O157" i="1"/>
  <c r="H157" i="1"/>
  <c r="BR157" i="1"/>
  <c r="CJ154" i="1"/>
  <c r="CJ145" i="1"/>
  <c r="AQ89" i="1"/>
  <c r="H89" i="1"/>
  <c r="O89" i="1"/>
  <c r="AF89" i="1"/>
  <c r="AD89" i="1"/>
  <c r="CP84" i="1"/>
  <c r="O84" i="1"/>
  <c r="H84" i="1"/>
  <c r="AF45" i="1"/>
  <c r="AD45" i="1"/>
  <c r="AQ45" i="1"/>
  <c r="CP45" i="1"/>
  <c r="AF21" i="1"/>
  <c r="O21" i="1"/>
  <c r="H21" i="1"/>
  <c r="BR21" i="1"/>
  <c r="CP13" i="1"/>
  <c r="CJ24" i="1"/>
  <c r="CQ24" i="1" s="1"/>
  <c r="CJ23" i="1"/>
  <c r="CQ23" i="1" s="1"/>
  <c r="O42" i="1"/>
  <c r="H42" i="1"/>
  <c r="CP25" i="1"/>
  <c r="CJ36" i="1"/>
  <c r="CJ33" i="1"/>
  <c r="CJ34" i="1"/>
  <c r="CJ32" i="1"/>
  <c r="CJ29" i="1"/>
  <c r="CJ31" i="1"/>
  <c r="CJ25" i="1"/>
  <c r="CQ25" i="1" s="1"/>
  <c r="CJ30" i="1"/>
  <c r="CJ27" i="1"/>
  <c r="CJ26" i="1"/>
  <c r="CJ22" i="1"/>
  <c r="CQ22" i="1" s="1"/>
  <c r="CJ21" i="1"/>
  <c r="CQ21" i="1" s="1"/>
  <c r="CJ20" i="1"/>
  <c r="CQ20" i="1" s="1"/>
  <c r="CJ15" i="1"/>
  <c r="CQ15" i="1" s="1"/>
  <c r="CJ18" i="1"/>
  <c r="CQ18" i="1" s="1"/>
  <c r="CJ17" i="1"/>
  <c r="CQ17" i="1" s="1"/>
  <c r="CJ19" i="1"/>
  <c r="CQ19" i="1" s="1"/>
  <c r="CJ16" i="1"/>
  <c r="CQ16" i="1" s="1"/>
  <c r="CJ14" i="1"/>
  <c r="CQ14" i="1" s="1"/>
  <c r="CJ205" i="1"/>
  <c r="AO204" i="1"/>
  <c r="CJ204" i="1"/>
  <c r="CJ203" i="1"/>
  <c r="CJ202" i="1"/>
  <c r="CO214" i="1" s="1"/>
  <c r="CP202" i="1"/>
  <c r="CL53" i="1" l="1"/>
  <c r="CL48" i="1"/>
  <c r="CL32" i="1"/>
  <c r="CL44" i="1"/>
  <c r="CL52" i="1"/>
  <c r="CL51" i="1"/>
  <c r="CN149" i="1"/>
  <c r="CN186" i="1"/>
  <c r="CL46" i="1"/>
  <c r="CO113" i="1"/>
  <c r="CN152" i="1"/>
  <c r="CN106" i="1"/>
  <c r="CN108" i="1"/>
  <c r="CL28" i="1"/>
  <c r="CL47" i="1"/>
  <c r="CL50" i="1"/>
  <c r="CL30" i="1"/>
  <c r="CL29" i="1"/>
  <c r="CL31" i="1"/>
  <c r="CL26" i="1"/>
  <c r="CN193" i="1"/>
  <c r="CL25" i="1"/>
  <c r="CN86" i="1"/>
  <c r="CN168" i="1"/>
  <c r="CN213" i="1"/>
  <c r="CL211" i="1"/>
  <c r="CN15" i="1"/>
  <c r="CN151" i="1"/>
  <c r="CL212" i="1"/>
  <c r="CN107" i="1"/>
  <c r="CN51" i="1"/>
  <c r="CN40" i="1"/>
  <c r="CN43" i="1"/>
  <c r="CN101" i="1"/>
  <c r="CO213" i="1"/>
  <c r="CQ213" i="1"/>
  <c r="CL27" i="1"/>
  <c r="CL58" i="1"/>
  <c r="CN61" i="1"/>
  <c r="CN120" i="1"/>
  <c r="CN60" i="1"/>
  <c r="CL210" i="1"/>
  <c r="CN203" i="1"/>
  <c r="CL24" i="1"/>
  <c r="CN115" i="1"/>
  <c r="CN17" i="1"/>
  <c r="CN57" i="1"/>
  <c r="CN188" i="1"/>
  <c r="CL208" i="1"/>
  <c r="CL207" i="1"/>
  <c r="CQ195" i="1"/>
  <c r="CN78" i="1"/>
  <c r="CL57" i="1"/>
  <c r="CL204" i="1"/>
  <c r="CN147" i="1"/>
  <c r="CN41" i="1"/>
  <c r="CL66" i="1"/>
  <c r="CL63" i="1"/>
  <c r="CN102" i="1"/>
  <c r="CL61" i="1"/>
  <c r="CL203" i="1"/>
  <c r="CL60" i="1"/>
  <c r="CL64" i="1"/>
  <c r="CN112" i="1"/>
  <c r="CL200" i="1"/>
  <c r="CL206" i="1"/>
  <c r="CL209" i="1"/>
  <c r="CL43" i="1"/>
  <c r="CL202" i="1"/>
  <c r="CL196" i="1"/>
  <c r="CL198" i="1"/>
  <c r="CL59" i="1"/>
  <c r="CL62" i="1"/>
  <c r="CL67" i="1"/>
  <c r="CL199" i="1"/>
  <c r="CL197" i="1"/>
  <c r="CL49" i="1"/>
  <c r="CL22" i="1"/>
  <c r="CN21" i="1"/>
  <c r="CL65" i="1"/>
  <c r="CL201" i="1"/>
  <c r="CL205" i="1"/>
  <c r="CL45" i="1"/>
  <c r="CO80" i="1"/>
  <c r="CN187" i="1"/>
  <c r="CN24" i="1"/>
  <c r="CN103" i="1"/>
  <c r="CN205" i="1"/>
  <c r="CN148" i="1"/>
  <c r="CN155" i="1"/>
  <c r="CN62" i="1"/>
  <c r="CN163" i="1"/>
  <c r="CN109" i="1"/>
  <c r="CN192" i="1"/>
  <c r="CN137" i="1"/>
  <c r="CN49" i="1"/>
  <c r="CN198" i="1"/>
  <c r="CQ83" i="1"/>
  <c r="CN105" i="1"/>
  <c r="CN44" i="1"/>
  <c r="CN150" i="1"/>
  <c r="CN54" i="1"/>
  <c r="CN39" i="1"/>
  <c r="CN22" i="1"/>
  <c r="CN113" i="1"/>
  <c r="CN52" i="1"/>
  <c r="CN170" i="1"/>
  <c r="CN25" i="1"/>
  <c r="CN20" i="1"/>
  <c r="CN119" i="1"/>
  <c r="CN154" i="1"/>
  <c r="CN162" i="1"/>
  <c r="CN189" i="1"/>
  <c r="CN110" i="1"/>
  <c r="CN46" i="1"/>
  <c r="CN82" i="1"/>
  <c r="CQ80" i="1"/>
  <c r="CN58" i="1"/>
  <c r="CO209" i="1"/>
  <c r="CN210" i="1"/>
  <c r="CN31" i="1"/>
  <c r="CN164" i="1"/>
  <c r="CQ209" i="1"/>
  <c r="CO212" i="1"/>
  <c r="CQ212" i="1"/>
  <c r="CO211" i="1"/>
  <c r="CQ211" i="1"/>
  <c r="CO210" i="1"/>
  <c r="CQ210" i="1"/>
  <c r="CN143" i="1"/>
  <c r="CO102" i="1"/>
  <c r="CO85" i="1"/>
  <c r="CO54" i="1"/>
  <c r="CO208" i="1"/>
  <c r="CQ208" i="1"/>
  <c r="CO74" i="1"/>
  <c r="CO155" i="1"/>
  <c r="CN202" i="1"/>
  <c r="CN199" i="1"/>
  <c r="CN118" i="1"/>
  <c r="CN16" i="1"/>
  <c r="CN45" i="1"/>
  <c r="CN79" i="1"/>
  <c r="CQ54" i="1"/>
  <c r="CN116" i="1"/>
  <c r="CN173" i="1"/>
  <c r="CN206" i="1"/>
  <c r="CN111" i="1"/>
  <c r="CN104" i="1"/>
  <c r="CN123" i="1"/>
  <c r="CN136" i="1"/>
  <c r="CN50" i="1"/>
  <c r="CN158" i="1"/>
  <c r="CN53" i="1"/>
  <c r="CN128" i="1"/>
  <c r="CN166" i="1"/>
  <c r="CN18" i="1"/>
  <c r="CN59" i="1"/>
  <c r="CQ113" i="1"/>
  <c r="CO79" i="1"/>
  <c r="CO78" i="1"/>
  <c r="CO63" i="1"/>
  <c r="CN183" i="1"/>
  <c r="CQ122" i="1"/>
  <c r="CO122" i="1"/>
  <c r="CQ117" i="1"/>
  <c r="CO117" i="1"/>
  <c r="CQ153" i="1"/>
  <c r="CO153" i="1"/>
  <c r="CQ33" i="1"/>
  <c r="CO33" i="1"/>
  <c r="CQ173" i="1"/>
  <c r="CO173" i="1"/>
  <c r="CQ168" i="1"/>
  <c r="CO168" i="1"/>
  <c r="CQ144" i="1"/>
  <c r="CO144" i="1"/>
  <c r="CQ27" i="1"/>
  <c r="CO27" i="1"/>
  <c r="CQ36" i="1"/>
  <c r="CO36" i="1"/>
  <c r="CQ145" i="1"/>
  <c r="CO145" i="1"/>
  <c r="CQ169" i="1"/>
  <c r="CO169" i="1"/>
  <c r="CQ146" i="1"/>
  <c r="CO146" i="1"/>
  <c r="CQ177" i="1"/>
  <c r="CO177" i="1"/>
  <c r="CQ181" i="1"/>
  <c r="CO181" i="1"/>
  <c r="CQ131" i="1"/>
  <c r="CO131" i="1"/>
  <c r="CQ130" i="1"/>
  <c r="CO130" i="1"/>
  <c r="CQ127" i="1"/>
  <c r="CO127" i="1"/>
  <c r="CQ178" i="1"/>
  <c r="CO178" i="1"/>
  <c r="CQ103" i="1"/>
  <c r="CO103" i="1"/>
  <c r="CQ52" i="1"/>
  <c r="CO52" i="1"/>
  <c r="CQ40" i="1"/>
  <c r="CO40" i="1"/>
  <c r="CQ59" i="1"/>
  <c r="CO59" i="1"/>
  <c r="CQ46" i="1"/>
  <c r="CO46" i="1"/>
  <c r="CQ73" i="1"/>
  <c r="CO73" i="1"/>
  <c r="CQ111" i="1"/>
  <c r="CO111" i="1"/>
  <c r="CQ196" i="1"/>
  <c r="CO196" i="1"/>
  <c r="CQ99" i="1"/>
  <c r="CO99" i="1"/>
  <c r="CQ198" i="1"/>
  <c r="CO198" i="1"/>
  <c r="CQ100" i="1"/>
  <c r="CO100" i="1"/>
  <c r="CQ97" i="1"/>
  <c r="CO97" i="1"/>
  <c r="CN167" i="1"/>
  <c r="CN55" i="1"/>
  <c r="CN133" i="1"/>
  <c r="CN141" i="1"/>
  <c r="CN48" i="1"/>
  <c r="CN74" i="1"/>
  <c r="CN63" i="1"/>
  <c r="CN161" i="1"/>
  <c r="CN88" i="1"/>
  <c r="CN200" i="1"/>
  <c r="CN29" i="1"/>
  <c r="CN176" i="1"/>
  <c r="CN181" i="1"/>
  <c r="CQ154" i="1"/>
  <c r="CO154" i="1"/>
  <c r="CQ28" i="1"/>
  <c r="CO28" i="1"/>
  <c r="CQ119" i="1"/>
  <c r="CO119" i="1"/>
  <c r="CQ72" i="1"/>
  <c r="CO72" i="1"/>
  <c r="CQ58" i="1"/>
  <c r="CO58" i="1"/>
  <c r="CQ77" i="1"/>
  <c r="CO77" i="1"/>
  <c r="CO140" i="1"/>
  <c r="CQ96" i="1"/>
  <c r="CO96" i="1"/>
  <c r="CO189" i="1"/>
  <c r="CQ139" i="1"/>
  <c r="CO139" i="1"/>
  <c r="CQ69" i="1"/>
  <c r="CO69" i="1"/>
  <c r="CO200" i="1"/>
  <c r="CQ101" i="1"/>
  <c r="CO101" i="1"/>
  <c r="CN130" i="1"/>
  <c r="CN73" i="1"/>
  <c r="CN87" i="1"/>
  <c r="CO186" i="1"/>
  <c r="CN36" i="1"/>
  <c r="CN178" i="1"/>
  <c r="CN182" i="1"/>
  <c r="CQ179" i="1"/>
  <c r="CO179" i="1"/>
  <c r="CQ126" i="1"/>
  <c r="CO126" i="1"/>
  <c r="CQ55" i="1"/>
  <c r="CO55" i="1"/>
  <c r="CQ142" i="1"/>
  <c r="CO142" i="1"/>
  <c r="CQ82" i="1"/>
  <c r="CO82" i="1"/>
  <c r="CO137" i="1"/>
  <c r="CQ41" i="1"/>
  <c r="CO41" i="1"/>
  <c r="CQ106" i="1"/>
  <c r="CO106" i="1"/>
  <c r="CQ199" i="1"/>
  <c r="CO199" i="1"/>
  <c r="CO191" i="1"/>
  <c r="CQ183" i="1"/>
  <c r="CO183" i="1"/>
  <c r="CO135" i="1"/>
  <c r="CO188" i="1"/>
  <c r="CN126" i="1"/>
  <c r="CN138" i="1"/>
  <c r="CN142" i="1"/>
  <c r="CN71" i="1"/>
  <c r="CN91" i="1"/>
  <c r="CN97" i="1"/>
  <c r="CN35" i="1"/>
  <c r="CN179" i="1"/>
  <c r="CQ123" i="1"/>
  <c r="CO123" i="1"/>
  <c r="CQ167" i="1"/>
  <c r="CO167" i="1"/>
  <c r="CQ37" i="1"/>
  <c r="CO37" i="1"/>
  <c r="CQ170" i="1"/>
  <c r="CO170" i="1"/>
  <c r="CQ35" i="1"/>
  <c r="CO35" i="1"/>
  <c r="CO89" i="1"/>
  <c r="CO88" i="1"/>
  <c r="CQ141" i="1"/>
  <c r="CO141" i="1"/>
  <c r="CQ64" i="1"/>
  <c r="CO64" i="1"/>
  <c r="CO44" i="1"/>
  <c r="CQ98" i="1"/>
  <c r="CO98" i="1"/>
  <c r="CO56" i="1"/>
  <c r="CO156" i="1"/>
  <c r="CQ66" i="1"/>
  <c r="CO66" i="1"/>
  <c r="CO187" i="1"/>
  <c r="CN124" i="1"/>
  <c r="CN127" i="1"/>
  <c r="CN140" i="1"/>
  <c r="CN70" i="1"/>
  <c r="CN93" i="1"/>
  <c r="CN98" i="1"/>
  <c r="CN33" i="1"/>
  <c r="CN37" i="1"/>
  <c r="CN175" i="1"/>
  <c r="CN180" i="1"/>
  <c r="CQ30" i="1"/>
  <c r="CO30" i="1"/>
  <c r="CQ120" i="1"/>
  <c r="CO120" i="1"/>
  <c r="CQ121" i="1"/>
  <c r="CO121" i="1"/>
  <c r="CQ128" i="1"/>
  <c r="CO128" i="1"/>
  <c r="CQ29" i="1"/>
  <c r="CO29" i="1"/>
  <c r="CQ116" i="1"/>
  <c r="CO116" i="1"/>
  <c r="CQ172" i="1"/>
  <c r="CO172" i="1"/>
  <c r="CQ125" i="1"/>
  <c r="CO125" i="1"/>
  <c r="CQ157" i="1"/>
  <c r="CO157" i="1"/>
  <c r="CQ174" i="1"/>
  <c r="CO174" i="1"/>
  <c r="CQ114" i="1"/>
  <c r="CO114" i="1"/>
  <c r="CQ163" i="1"/>
  <c r="CO163" i="1"/>
  <c r="CQ129" i="1"/>
  <c r="CO129" i="1"/>
  <c r="CQ76" i="1"/>
  <c r="CQ88" i="1"/>
  <c r="CQ44" i="1"/>
  <c r="CQ191" i="1"/>
  <c r="CQ140" i="1"/>
  <c r="CQ78" i="1"/>
  <c r="CQ56" i="1"/>
  <c r="CQ112" i="1"/>
  <c r="CO112" i="1"/>
  <c r="CO108" i="1"/>
  <c r="CO49" i="1"/>
  <c r="CO91" i="1"/>
  <c r="CQ60" i="1"/>
  <c r="CO60" i="1"/>
  <c r="CQ92" i="1"/>
  <c r="CO92" i="1"/>
  <c r="CO39" i="1"/>
  <c r="CQ95" i="1"/>
  <c r="CO95" i="1"/>
  <c r="CO90" i="1"/>
  <c r="CQ93" i="1"/>
  <c r="CO93" i="1"/>
  <c r="CN197" i="1"/>
  <c r="CN134" i="1"/>
  <c r="CN125" i="1"/>
  <c r="CN144" i="1"/>
  <c r="CN139" i="1"/>
  <c r="CN68" i="1"/>
  <c r="CN94" i="1"/>
  <c r="CN96" i="1"/>
  <c r="CN27" i="1"/>
  <c r="CN34" i="1"/>
  <c r="CN177" i="1"/>
  <c r="CQ149" i="1"/>
  <c r="CO149" i="1"/>
  <c r="CQ175" i="1"/>
  <c r="CO175" i="1"/>
  <c r="CQ152" i="1"/>
  <c r="CO152" i="1"/>
  <c r="CQ147" i="1"/>
  <c r="CO147" i="1"/>
  <c r="CQ32" i="1"/>
  <c r="CO32" i="1"/>
  <c r="CQ166" i="1"/>
  <c r="CO166" i="1"/>
  <c r="CQ171" i="1"/>
  <c r="CO171" i="1"/>
  <c r="CQ159" i="1"/>
  <c r="CO159" i="1"/>
  <c r="CQ189" i="1"/>
  <c r="CQ57" i="1"/>
  <c r="CO57" i="1"/>
  <c r="CQ53" i="1"/>
  <c r="CO53" i="1"/>
  <c r="CQ70" i="1"/>
  <c r="CO70" i="1"/>
  <c r="CQ48" i="1"/>
  <c r="CO48" i="1"/>
  <c r="CQ45" i="1"/>
  <c r="CO45" i="1"/>
  <c r="CQ94" i="1"/>
  <c r="CO94" i="1"/>
  <c r="CQ136" i="1"/>
  <c r="CO136" i="1"/>
  <c r="CQ134" i="1"/>
  <c r="CO134" i="1"/>
  <c r="CQ50" i="1"/>
  <c r="CO50" i="1"/>
  <c r="CQ87" i="1"/>
  <c r="CO87" i="1"/>
  <c r="CQ62" i="1"/>
  <c r="CO62" i="1"/>
  <c r="CQ51" i="1"/>
  <c r="CO51" i="1"/>
  <c r="CQ194" i="1"/>
  <c r="CO194" i="1"/>
  <c r="CQ81" i="1"/>
  <c r="CO81" i="1"/>
  <c r="CN160" i="1"/>
  <c r="CN121" i="1"/>
  <c r="CO192" i="1"/>
  <c r="CN83" i="1"/>
  <c r="CN132" i="1"/>
  <c r="CN146" i="1"/>
  <c r="CN47" i="1"/>
  <c r="CN65" i="1"/>
  <c r="CN67" i="1"/>
  <c r="CN95" i="1"/>
  <c r="CN30" i="1"/>
  <c r="CN32" i="1"/>
  <c r="CN174" i="1"/>
  <c r="CQ160" i="1"/>
  <c r="CO160" i="1"/>
  <c r="CQ118" i="1"/>
  <c r="CO118" i="1"/>
  <c r="CQ158" i="1"/>
  <c r="CO158" i="1"/>
  <c r="CQ31" i="1"/>
  <c r="CO31" i="1"/>
  <c r="CQ162" i="1"/>
  <c r="CO162" i="1"/>
  <c r="CQ182" i="1"/>
  <c r="CO182" i="1"/>
  <c r="CQ124" i="1"/>
  <c r="CO124" i="1"/>
  <c r="CQ102" i="1"/>
  <c r="CQ34" i="1"/>
  <c r="CO34" i="1"/>
  <c r="CQ148" i="1"/>
  <c r="CO148" i="1"/>
  <c r="CQ150" i="1"/>
  <c r="CO150" i="1"/>
  <c r="CQ176" i="1"/>
  <c r="CO176" i="1"/>
  <c r="CQ151" i="1"/>
  <c r="CO151" i="1"/>
  <c r="CQ165" i="1"/>
  <c r="CO165" i="1"/>
  <c r="CQ201" i="1"/>
  <c r="CO201" i="1"/>
  <c r="CQ79" i="1"/>
  <c r="CQ85" i="1"/>
  <c r="CQ63" i="1"/>
  <c r="CQ188" i="1"/>
  <c r="CQ107" i="1"/>
  <c r="CO107" i="1"/>
  <c r="CQ109" i="1"/>
  <c r="CO109" i="1"/>
  <c r="CO143" i="1"/>
  <c r="CO38" i="1"/>
  <c r="CO138" i="1"/>
  <c r="CQ104" i="1"/>
  <c r="CO104" i="1"/>
  <c r="CO75" i="1"/>
  <c r="CO105" i="1"/>
  <c r="CQ47" i="1"/>
  <c r="CO47" i="1"/>
  <c r="CO86" i="1"/>
  <c r="CO67" i="1"/>
  <c r="CQ197" i="1"/>
  <c r="CO197" i="1"/>
  <c r="CO68" i="1"/>
  <c r="CQ185" i="1"/>
  <c r="CO185" i="1"/>
  <c r="CN196" i="1"/>
  <c r="CN114" i="1"/>
  <c r="CN169" i="1"/>
  <c r="CN131" i="1"/>
  <c r="CN135" i="1"/>
  <c r="CN69" i="1"/>
  <c r="CN66" i="1"/>
  <c r="CN92" i="1"/>
  <c r="CN28" i="1"/>
  <c r="CN172" i="1"/>
  <c r="CQ26" i="1"/>
  <c r="CO26" i="1"/>
  <c r="CQ115" i="1"/>
  <c r="CO115" i="1"/>
  <c r="CQ161" i="1"/>
  <c r="CO161" i="1"/>
  <c r="CQ132" i="1"/>
  <c r="CO132" i="1"/>
  <c r="CO110" i="1"/>
  <c r="CO164" i="1"/>
  <c r="CO43" i="1"/>
  <c r="CO61" i="1"/>
  <c r="CO133" i="1"/>
  <c r="CO42" i="1"/>
  <c r="CO180" i="1"/>
  <c r="CQ65" i="1"/>
  <c r="CO65" i="1"/>
  <c r="CO190" i="1"/>
  <c r="CO193" i="1"/>
  <c r="CQ184" i="1"/>
  <c r="CO184" i="1"/>
  <c r="CO71" i="1"/>
  <c r="CN195" i="1"/>
  <c r="CN159" i="1"/>
  <c r="CO84" i="1"/>
  <c r="CN56" i="1"/>
  <c r="CN129" i="1"/>
  <c r="CN145" i="1"/>
  <c r="CN72" i="1"/>
  <c r="CN64" i="1"/>
  <c r="CN90" i="1"/>
  <c r="CN38" i="1"/>
  <c r="CN171" i="1"/>
  <c r="CQ202" i="1"/>
  <c r="CO202" i="1"/>
  <c r="CQ203" i="1"/>
  <c r="CO203" i="1"/>
  <c r="CQ204" i="1"/>
  <c r="CO204" i="1"/>
  <c r="CQ205" i="1"/>
  <c r="CO205" i="1"/>
  <c r="CQ207" i="1"/>
  <c r="CO207" i="1"/>
  <c r="CQ206" i="1"/>
  <c r="CO206" i="1"/>
</calcChain>
</file>

<file path=xl/comments1.xml><?xml version="1.0" encoding="utf-8"?>
<comments xmlns="http://schemas.openxmlformats.org/spreadsheetml/2006/main">
  <authors>
    <author>Luis Benitez</author>
  </authors>
  <commentList>
    <comment ref="O2" authorId="0" shapeId="0">
      <text>
        <r>
          <rPr>
            <sz val="9"/>
            <color indexed="81"/>
            <rFont val="Tahoma"/>
            <family val="2"/>
          </rPr>
          <t>Ingresos tributarios como porcentaje del PIB nominal</t>
        </r>
      </text>
    </comment>
  </commentList>
</comments>
</file>

<file path=xl/comments2.xml><?xml version="1.0" encoding="utf-8"?>
<comments xmlns="http://schemas.openxmlformats.org/spreadsheetml/2006/main">
  <authors>
    <author>Luis Benitez</author>
    <author>Luis Alberto Benítez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H19" authorId="0" shapeId="0">
      <text>
        <r>
          <rPr>
            <sz val="9"/>
            <color indexed="81"/>
            <rFont val="Tahoma"/>
            <family val="2"/>
          </rPr>
          <t>TC escenario macro dic-2019</t>
        </r>
      </text>
    </comment>
    <comment ref="E20" authorId="1" shapeId="0">
      <text>
        <r>
          <rPr>
            <sz val="9"/>
            <color indexed="81"/>
            <rFont val="Tahoma"/>
            <family val="2"/>
          </rPr>
          <t>Fuente: Anexo Estadístico del Informe Económico del BCP, 31-08-2020</t>
        </r>
      </text>
    </comment>
    <comment ref="H20" authorId="0" shapeId="0">
      <text>
        <r>
          <rPr>
            <sz val="9"/>
            <color indexed="81"/>
            <rFont val="Tahoma"/>
            <family val="2"/>
          </rPr>
          <t>Tipo de cambio promedio mes de agosto 2020</t>
        </r>
      </text>
    </comment>
  </commentList>
</comments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2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WorksheetConnection_Dashboard SITUFIN Diciembre 2019 v4.xlsx!Datos1" type="102" refreshedVersion="6" minRefreshableVersion="5">
    <extLst>
      <ext xmlns:x15="http://schemas.microsoft.com/office/spreadsheetml/2010/11/main" uri="{DE250136-89BD-433C-8126-D09CA5730AF9}">
        <x15:connection id="Datos1">
          <x15:rangePr sourceName="_xlcn.WorksheetConnection_DashboardSITUFINDiciembre2019v4.xlsxDatos11"/>
        </x15:connection>
      </ext>
    </extLst>
  </connection>
  <connection id="4" name="WorksheetConnection_Dashboard SITUFIN Junio 2020.xlsx!Tabla2" type="102" refreshedVersion="6" minRefreshableVersion="5">
    <extLst>
      <ext xmlns:x15="http://schemas.microsoft.com/office/spreadsheetml/2010/11/main" uri="{DE250136-89BD-433C-8126-D09CA5730AF9}">
        <x15:connection id="Tabla2">
          <x15:rangePr sourceName="_xlcn.WorksheetConnection_DashboardSITUFINJunio2020.xlsxTabla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Calendario].[Mes].&amp;[abril],[Calendario].[Mes].&amp;[agosto],[Calendario].[Mes].&amp;[enero],[Calendario].[Mes].&amp;[febrero],[Calendario].[Mes].&amp;[julio],[Calendario].[Mes].&amp;[junio],[Calendario].[Mes].&amp;[marzo],[Calendario].[Mes].&amp;[mayo]}"/>
    <s v="{[Calendario].[Mes].&amp;[enero],[Calendario].[Mes].&amp;[febrero],[Calendario].[Mes].&amp;[marzo],[Calendario].[Mes].&amp;[abril],[Calendario].[Mes].&amp;[mayo],[Calendario].[Mes].&amp;[junio],[Calendario].[Mes].&amp;[agosto],[Calendario].[Mes].&amp;[julio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<sst xmlns="http://schemas.openxmlformats.org/spreadsheetml/2006/main" count="478" uniqueCount="283">
  <si>
    <t>Periodo</t>
  </si>
  <si>
    <t>Mes</t>
  </si>
  <si>
    <t>Año</t>
  </si>
  <si>
    <t>PIB nominal (miles de millones de G.)</t>
  </si>
  <si>
    <t>Tipo de cambio Gs./US$</t>
  </si>
  <si>
    <t>Ingreso Total (Recaudado)</t>
  </si>
  <si>
    <t>Ingresos Tributarios</t>
  </si>
  <si>
    <t>SET</t>
  </si>
  <si>
    <t>DNA</t>
  </si>
  <si>
    <t>Contribuciones Sociales</t>
  </si>
  <si>
    <t>Donaciones</t>
  </si>
  <si>
    <t>Otros Ingresos</t>
  </si>
  <si>
    <t>Itaipú</t>
  </si>
  <si>
    <t>Yacyretá</t>
  </si>
  <si>
    <t>Gasto Total (Obligado)</t>
  </si>
  <si>
    <t>Resultado Operativo Neto</t>
  </si>
  <si>
    <t>Resultado Fiscal (miles de millones de G.)</t>
  </si>
  <si>
    <t>Resultado Fiscal (% del PIB)</t>
  </si>
  <si>
    <t>Resultado fiscal anualizado</t>
  </si>
  <si>
    <t>Resultado fiscal anualizado (% del PIB)</t>
  </si>
  <si>
    <t>Nro.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</si>
  <si>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</si>
  <si>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</si>
  <si>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</si>
  <si>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</si>
  <si>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</si>
  <si>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</si>
  <si>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</si>
  <si>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</si>
  <si>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</si>
  <si>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</si>
  <si>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</si>
  <si>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</si>
  <si>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</si>
  <si>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</si>
  <si>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Remuneración a los Empleados</t>
  </si>
  <si>
    <t>Uso de Bienes y Servicios</t>
  </si>
  <si>
    <t>Intereses</t>
  </si>
  <si>
    <t>Prestaciones Sociales</t>
  </si>
  <si>
    <t>Otros Gastos</t>
  </si>
  <si>
    <t>Adquisición Neta de Activos no Financieros</t>
  </si>
  <si>
    <t>MOPC</t>
  </si>
  <si>
    <t>Otras remuneraciones</t>
  </si>
  <si>
    <t>Sueldos</t>
  </si>
  <si>
    <t>Comisiones</t>
  </si>
  <si>
    <t>Otros Usos de Bienes y Servicios</t>
  </si>
  <si>
    <t>Intereses (millones de US$)</t>
  </si>
  <si>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</si>
  <si>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</si>
  <si>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</si>
  <si>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</si>
  <si>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</si>
  <si>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</si>
  <si>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</si>
  <si>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</si>
  <si>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</si>
  <si>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</si>
  <si>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</si>
  <si>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</si>
  <si>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</si>
  <si>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</si>
  <si>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</si>
  <si>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</si>
  <si>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</si>
  <si>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</si>
  <si>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</si>
  <si>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</si>
  <si>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</si>
  <si>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</si>
  <si>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</si>
  <si>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</si>
  <si>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</si>
  <si>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</si>
  <si>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</si>
  <si>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</si>
  <si>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Externa</t>
  </si>
  <si>
    <t>Interna</t>
  </si>
  <si>
    <t>Subsidios</t>
  </si>
  <si>
    <t>Prestaciones sociales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</si>
  <si>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</si>
  <si>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</si>
  <si>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</si>
  <si>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</si>
  <si>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</si>
  <si>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</si>
  <si>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</si>
  <si>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</si>
  <si>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</si>
  <si>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</si>
  <si>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</si>
  <si>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</si>
  <si>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</si>
  <si>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</si>
  <si>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</si>
  <si>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</si>
  <si>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</si>
  <si>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</si>
  <si>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</si>
  <si>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</si>
  <si>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</si>
  <si>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</si>
  <si>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</si>
  <si>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</si>
  <si>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</si>
  <si>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</si>
  <si>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</si>
  <si>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 xml:space="preserve">       A organismos internacionales</t>
  </si>
  <si>
    <t xml:space="preserve">       A otras unidades del gobierno general</t>
  </si>
  <si>
    <t>% Var. Anualizado DNA</t>
  </si>
  <si>
    <t>% Var. Anualizado SET</t>
  </si>
  <si>
    <t>Presión Tributaria</t>
  </si>
  <si>
    <t>Otros ingresos (millones de US$)</t>
  </si>
  <si>
    <t>Itaipú (millones de US$)</t>
  </si>
  <si>
    <t>Yacyretá (en millones de US$)</t>
  </si>
  <si>
    <t xml:space="preserve">Ingresos Tributarios </t>
  </si>
  <si>
    <t>Orden</t>
  </si>
  <si>
    <t>Ingreso Total (% del PIB)</t>
  </si>
  <si>
    <t>Gasto Total (% del PIB)</t>
  </si>
  <si>
    <t>% Var. Anualizado GT</t>
  </si>
  <si>
    <t>Contribuciones Sociales (% del PIB)</t>
  </si>
  <si>
    <t>Donaciones (% del PIB)</t>
  </si>
  <si>
    <t>RON (% del PIB)</t>
  </si>
  <si>
    <t>Otros Ingr.</t>
  </si>
  <si>
    <t>Donaciones (Gasto)</t>
  </si>
  <si>
    <t>Otras entidades</t>
  </si>
  <si>
    <t>ANANF (mm US$)</t>
  </si>
  <si>
    <t>MOPC (mm US$)</t>
  </si>
  <si>
    <t>Otras entidades (mm US$)</t>
  </si>
  <si>
    <t>SSPP financiados con Ingresos Tributarios</t>
  </si>
  <si>
    <t>% Var</t>
  </si>
  <si>
    <t>Etiquetas de fila</t>
  </si>
  <si>
    <t xml:space="preserve">SET </t>
  </si>
  <si>
    <t xml:space="preserve">DNA </t>
  </si>
  <si>
    <t xml:space="preserve">Intereses </t>
  </si>
  <si>
    <t xml:space="preserve">Donaciones </t>
  </si>
  <si>
    <t>Periodo anterior</t>
  </si>
  <si>
    <t>Último periodo</t>
  </si>
  <si>
    <t>IT Suma 12 meses</t>
  </si>
  <si>
    <t>Tributarios suma 12 meses</t>
  </si>
  <si>
    <t>SET suma 12 meses</t>
  </si>
  <si>
    <t>DNA suma 12 meses</t>
  </si>
  <si>
    <t>Gasto Total suma 12 meses</t>
  </si>
  <si>
    <t>ANANF acumulado 12 meses</t>
  </si>
  <si>
    <t>RON acumulado 12 meses</t>
  </si>
  <si>
    <t>RON anualizado (% del PIB)</t>
  </si>
  <si>
    <t>ANANF anualizado (% del PIB)</t>
  </si>
  <si>
    <t>% Var acum Ingreso total</t>
  </si>
  <si>
    <t>% Var interanual</t>
  </si>
  <si>
    <t>% Var suma 12 meses</t>
  </si>
  <si>
    <t>IT acumulado por año</t>
  </si>
  <si>
    <t>Gasto total acumulado por año</t>
  </si>
  <si>
    <t>% Var interanual gasto total</t>
  </si>
  <si>
    <t>% Var acumulado gasto total</t>
  </si>
  <si>
    <t>RON acumulado por año</t>
  </si>
  <si>
    <t>% Var interanual RON</t>
  </si>
  <si>
    <t>% Var acumulado RON</t>
  </si>
  <si>
    <t>% Var anualizado</t>
  </si>
  <si>
    <t>ANANF acumulado por año</t>
  </si>
  <si>
    <t>% Var interanual ANANF</t>
  </si>
  <si>
    <t>% Var acumulado por año ANANF</t>
  </si>
  <si>
    <t>% Var anualizado ANANF</t>
  </si>
  <si>
    <t>Resultado Fiscal acumulado por año</t>
  </si>
  <si>
    <t>% Var acumulado Resultado Fiscal</t>
  </si>
  <si>
    <t>% Var anualizado Resultado Fiscal</t>
  </si>
  <si>
    <t>% Var interanual Resultado Fiscal</t>
  </si>
  <si>
    <t>Itaipú acumulado por año (millones de US$)</t>
  </si>
  <si>
    <t>Yacyretá acumulado por año (millones de US$)</t>
  </si>
  <si>
    <t>ANANF (% del PIB)</t>
  </si>
  <si>
    <t>ANANF acum. Por año (% del PIB)</t>
  </si>
  <si>
    <t>Remun. Acum. Por año</t>
  </si>
  <si>
    <t>Remun. Suma 12 meses</t>
  </si>
  <si>
    <t>% Var. Interanual Remun.</t>
  </si>
  <si>
    <t>% Var. Acumulado Remun.</t>
  </si>
  <si>
    <t>% Var. Anualizado Remun.</t>
  </si>
  <si>
    <t>Tributarios Acum. Por año</t>
  </si>
  <si>
    <t>% Var. Interanual Tributarios</t>
  </si>
  <si>
    <t>% Var. Acum. Tributarios</t>
  </si>
  <si>
    <t>% Var. Suma 12m Tributarios</t>
  </si>
  <si>
    <t>Número de mes</t>
  </si>
  <si>
    <t>FFPP</t>
  </si>
  <si>
    <t>MEC</t>
  </si>
  <si>
    <t>MSPBS</t>
  </si>
  <si>
    <t>Hospital de Clínicas</t>
  </si>
  <si>
    <t>MH</t>
  </si>
  <si>
    <t>Salarios Ley de Emergencia</t>
  </si>
  <si>
    <t>Millones de US$</t>
  </si>
  <si>
    <t>Intereses (% del PIB)</t>
  </si>
  <si>
    <t xml:space="preserve">Ingreso Total </t>
  </si>
  <si>
    <t>% Var. Interanual SET</t>
  </si>
  <si>
    <t>% Var. Interanual DNA</t>
  </si>
  <si>
    <t>(Varios elementos)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</si>
  <si>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</si>
  <si>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</si>
  <si>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</si>
  <si>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</si>
  <si>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</si>
  <si>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Presupuesto
Ajustado
2019</t>
  </si>
  <si>
    <t>% Ejec.</t>
  </si>
  <si>
    <t>Presupuesto
Ajustado
2020</t>
  </si>
  <si>
    <t>% de Var.</t>
  </si>
  <si>
    <t/>
  </si>
  <si>
    <t>De gobiernos extranjeros</t>
  </si>
  <si>
    <t xml:space="preserve">           Corrientes</t>
  </si>
  <si>
    <t xml:space="preserve">           De Capital</t>
  </si>
  <si>
    <t>De organismos internacionales</t>
  </si>
  <si>
    <t>De otras unidades del gobierno general</t>
  </si>
  <si>
    <t xml:space="preserve">            Regalías y compensación Itaipú y Yacyretá</t>
  </si>
  <si>
    <t>Otras Rentra a la propiedad</t>
  </si>
  <si>
    <t>Modalidad llave en mano</t>
  </si>
  <si>
    <t>Transacciones en activos financieros y pasivos (financiamiento)</t>
  </si>
  <si>
    <t>Reduccion (-)/Aumento (+)</t>
  </si>
  <si>
    <t>Discrepancia Estadística</t>
  </si>
  <si>
    <t>1 Ingresos Tributarios del mes de Junio serán distribuidos posteriormente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</si>
  <si>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</si>
  <si>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</si>
  <si>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</si>
  <si>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</si>
  <si>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</si>
  <si>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</si>
  <si>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</si>
  <si>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</si>
  <si>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</si>
  <si>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</si>
  <si>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</si>
  <si>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</si>
  <si>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</si>
  <si>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</si>
  <si>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r>
      <t>Ingresos tributarios</t>
    </r>
    <r>
      <rPr>
        <b/>
        <vertAlign val="subscript"/>
        <sz val="10"/>
        <rFont val="Times New Roman"/>
        <family val="1"/>
      </rPr>
      <t>1</t>
    </r>
  </si>
  <si>
    <t xml:space="preserve">            Compensacion cesion de energia Itaipu y Yacyreta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</si>
  <si>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</si>
  <si>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</si>
  <si>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>Total Ingresos</t>
  </si>
  <si>
    <t>Var</t>
  </si>
  <si>
    <t xml:space="preserve">   Gasto Total</t>
  </si>
  <si>
    <t>Resultado Fiscal (millones de US$)</t>
  </si>
  <si>
    <t>Resultado Fiscal anualizado (millones de US$)</t>
  </si>
  <si>
    <t xml:space="preserve">Resultado Fiscal (millones de US$) </t>
  </si>
  <si>
    <t>Resumen</t>
  </si>
  <si>
    <t>Resultado Fiscal (millones de USD)</t>
  </si>
  <si>
    <t>Ingreso Total</t>
  </si>
  <si>
    <t>Gastos Totales</t>
  </si>
  <si>
    <t>Inversión (G.)</t>
  </si>
  <si>
    <t>Inversión (millones de USD)</t>
  </si>
  <si>
    <t>Inversión (% del PIB acumulado)</t>
  </si>
  <si>
    <t>MOPC (millones de USD)</t>
  </si>
  <si>
    <t>Otras Entidades (millones de USD)</t>
  </si>
  <si>
    <t>MOPC (% de participación)</t>
  </si>
  <si>
    <t>Otras Entidades (% de participación)</t>
  </si>
  <si>
    <t xml:space="preserve">Resultado Fiscal (% del PIB) </t>
  </si>
  <si>
    <t xml:space="preserve">Contrib. Sociales </t>
  </si>
  <si>
    <t xml:space="preserve">Otros Ingresos </t>
  </si>
  <si>
    <t xml:space="preserve">Gasto Total </t>
  </si>
  <si>
    <t xml:space="preserve">Remun. </t>
  </si>
  <si>
    <t xml:space="preserve">Uso de ByS </t>
  </si>
  <si>
    <t xml:space="preserve">P. Sociales </t>
  </si>
  <si>
    <t xml:space="preserve">Otros Gtos. </t>
  </si>
  <si>
    <t xml:space="preserve">Inversión (G.) </t>
  </si>
  <si>
    <t xml:space="preserve">Inversión (USD) </t>
  </si>
  <si>
    <t xml:space="preserve">Inversión (% del PIB) </t>
  </si>
  <si>
    <t xml:space="preserve">MOPC (USD) </t>
  </si>
  <si>
    <t xml:space="preserve">Otras Ent (USD) </t>
  </si>
  <si>
    <t>Resultado anualizado (% PIB)</t>
  </si>
  <si>
    <t xml:space="preserve">Inversión anualizada (% PIB) </t>
  </si>
  <si>
    <t>Inversión anualizada (% del PIB)</t>
  </si>
  <si>
    <t>Déficit Fiscal (% del PIB)</t>
  </si>
  <si>
    <t>Déficit Fiscal anualizado (% del PIB)</t>
  </si>
  <si>
    <t>En miles de millones de Gs.</t>
  </si>
  <si>
    <t xml:space="preserve">   En miles de millones de Gs.</t>
  </si>
  <si>
    <t>MJ</t>
  </si>
  <si>
    <t>MTESS</t>
  </si>
  <si>
    <t>SITUFIN Mensual 2020</t>
  </si>
  <si>
    <t>Volver a Resumen</t>
  </si>
  <si>
    <t>Ejecución
Agosto
2019</t>
  </si>
  <si>
    <t>Ejecución
Agosto
2020</t>
  </si>
  <si>
    <t>ago-19</t>
  </si>
  <si>
    <t>ago-20</t>
  </si>
  <si>
    <t>SITUFIN Acumulado Agosto 2020 Vs. Agosto 2019</t>
  </si>
  <si>
    <t>Prestaciones de la seguridad social</t>
  </si>
  <si>
    <t>Prestaciones de asistencia social</t>
  </si>
  <si>
    <t>Prestaciones sociales del empleador</t>
  </si>
  <si>
    <t xml:space="preserve">  Otras Rentas a la propiedad</t>
  </si>
  <si>
    <t xml:space="preserve">           Compensacion cesión de energia Itaipú y Yacyretá</t>
  </si>
  <si>
    <t xml:space="preserve">  Otras Ventas de Bienes y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</si>
</sst>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1" formatCode="_ * #,##0_ ;_ * \-#,##0_ ;_ * &quot;-&quot;_ ;_ @_ "/>
    <numFmt numFmtId="43" formatCode="_ * #,##0.00_ ;_ * \-#,##0.00_ ;_ * &quot;-&quot;??_ ;_ @_ "/>
    <numFmt numFmtId="164" formatCode="#,##0.0;\(#,##0.0\)"/>
    <numFmt numFmtId="165" formatCode="_([$€]* #,##0.00_);_([$€]* \(#,##0.00\);_([$€]* &quot;-&quot;??_);_(@_)"/>
    <numFmt numFmtId="166" formatCode="#,##0.0"/>
    <numFmt numFmtId="167" formatCode="_-* #,##0\ _€_-;\-* #,##0\ _€_-;_-* &quot;-&quot;??\ _€_-;_-@_-"/>
    <numFmt numFmtId="168" formatCode="_-* #,##0.0\ _€_-;\-* #,##0.0\ _€_-;_-* &quot;-&quot;??\ _€_-;_-@_-"/>
    <numFmt numFmtId="169" formatCode="#,##0;\(#,##0\)"/>
    <numFmt numFmtId="170" formatCode="0.0%"/>
    <numFmt numFmtId="171" formatCode="0.0"/>
    <numFmt numFmtId="172" formatCode="_-* #,##0.00\ _P_t_s_-;\-* #,##0.00\ _P_t_s_-;_-* &quot;-&quot;??\ _P_t_s_-;_-@_-"/>
    <numFmt numFmtId="173" formatCode="#,##0.00000000"/>
    <numFmt numFmtId="174" formatCode="#,##0.000"/>
    <numFmt numFmtId="175" formatCode="#,##0.000000000"/>
    <numFmt numFmtId="176" formatCode="#,##0.000000"/>
    <numFmt numFmtId="177" formatCode="#,##0.0000000"/>
    <numFmt numFmtId="178" formatCode="#,##0.0;[Red]#,##0.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name val="Humanst521 BT"/>
      <family val="2"/>
    </font>
    <font>
      <sz val="9"/>
      <color indexed="81"/>
      <name val="Tahoma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vertAlign val="subscript"/>
      <sz val="10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b/>
      <vertAlign val="subscript"/>
      <sz val="10"/>
      <name val="Times New Roman"/>
      <family val="1"/>
    </font>
    <font>
      <sz val="11"/>
      <name val="Times New Roman"/>
      <family val="1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darkDown"/>
    </fill>
  </fills>
  <borders count="20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3" fontId="4" fillId="0" borderId="0" applyNumberFormat="0" applyFill="0" applyBorder="0" applyAlignment="0" applyProtection="0"/>
    <xf numFmtId="165" fontId="8" fillId="0" borderId="0"/>
    <xf numFmtId="43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250">
    <xf numFmtId="0" fontId="0" fillId="0" borderId="0" xfId="0"/>
    <xf numFmtId="164" fontId="6" fillId="0" borderId="0" xfId="2" applyNumberFormat="1" applyFont="1" applyFill="1" applyBorder="1" applyAlignment="1">
      <alignment horizontal="right"/>
    </xf>
    <xf numFmtId="164" fontId="6" fillId="0" borderId="0" xfId="2" applyNumberFormat="1" applyFont="1" applyFill="1" applyAlignment="1">
      <alignment horizontal="right"/>
    </xf>
    <xf numFmtId="17" fontId="5" fillId="0" borderId="1" xfId="2" applyNumberFormat="1" applyFont="1" applyBorder="1" applyAlignment="1">
      <alignment horizontal="center" vertical="center"/>
    </xf>
    <xf numFmtId="164" fontId="6" fillId="0" borderId="0" xfId="2" applyNumberFormat="1" applyFont="1" applyAlignment="1">
      <alignment horizontal="right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Border="1"/>
    <xf numFmtId="3" fontId="9" fillId="0" borderId="2" xfId="3" applyNumberFormat="1" applyFont="1" applyFill="1" applyBorder="1" applyAlignment="1" applyProtection="1">
      <alignment horizontal="right"/>
    </xf>
    <xf numFmtId="3" fontId="0" fillId="0" borderId="2" xfId="0" applyNumberFormat="1" applyBorder="1"/>
    <xf numFmtId="0" fontId="0" fillId="0" borderId="2" xfId="0" applyFill="1" applyBorder="1"/>
    <xf numFmtId="17" fontId="5" fillId="0" borderId="3" xfId="2" applyNumberFormat="1" applyFont="1" applyBorder="1" applyAlignment="1">
      <alignment horizontal="center" vertical="center"/>
    </xf>
    <xf numFmtId="0" fontId="0" fillId="0" borderId="0" xfId="0" applyFont="1"/>
    <xf numFmtId="3" fontId="0" fillId="0" borderId="0" xfId="0" applyNumberFormat="1" applyFont="1"/>
    <xf numFmtId="0" fontId="2" fillId="2" borderId="0" xfId="0" applyFont="1" applyFill="1"/>
    <xf numFmtId="3" fontId="11" fillId="0" borderId="4" xfId="2" applyFont="1" applyFill="1" applyBorder="1" applyAlignment="1">
      <alignment horizontal="center" vertical="center"/>
    </xf>
    <xf numFmtId="17" fontId="11" fillId="0" borderId="4" xfId="2" applyNumberFormat="1" applyFont="1" applyFill="1" applyBorder="1" applyAlignment="1">
      <alignment horizontal="center" vertical="center"/>
    </xf>
    <xf numFmtId="3" fontId="11" fillId="0" borderId="0" xfId="2" applyFont="1" applyFill="1" applyAlignment="1">
      <alignment horizontal="center"/>
    </xf>
    <xf numFmtId="3" fontId="12" fillId="0" borderId="0" xfId="2" applyFont="1" applyFill="1"/>
    <xf numFmtId="164" fontId="12" fillId="0" borderId="0" xfId="2" applyNumberFormat="1" applyFont="1" applyFill="1"/>
    <xf numFmtId="3" fontId="5" fillId="0" borderId="0" xfId="2" applyFont="1" applyFill="1"/>
    <xf numFmtId="167" fontId="13" fillId="0" borderId="0" xfId="4" applyNumberFormat="1" applyFont="1" applyFill="1"/>
    <xf numFmtId="3" fontId="14" fillId="0" borderId="0" xfId="2" applyFont="1" applyFill="1"/>
    <xf numFmtId="164" fontId="14" fillId="0" borderId="0" xfId="2" applyNumberFormat="1" applyFont="1" applyFill="1"/>
    <xf numFmtId="3" fontId="11" fillId="0" borderId="0" xfId="2" applyFont="1" applyFill="1"/>
    <xf numFmtId="164" fontId="11" fillId="0" borderId="0" xfId="2" applyNumberFormat="1" applyFont="1" applyFill="1"/>
    <xf numFmtId="167" fontId="15" fillId="0" borderId="0" xfId="4" applyNumberFormat="1" applyFont="1" applyFill="1"/>
    <xf numFmtId="3" fontId="6" fillId="0" borderId="0" xfId="2" applyFont="1" applyFill="1" applyAlignment="1">
      <alignment horizontal="left" indent="2"/>
    </xf>
    <xf numFmtId="0" fontId="0" fillId="0" borderId="0" xfId="0" applyFill="1" applyProtection="1"/>
    <xf numFmtId="3" fontId="6" fillId="0" borderId="0" xfId="2" applyFont="1" applyFill="1" applyAlignment="1" applyProtection="1">
      <alignment horizontal="left" indent="2"/>
    </xf>
    <xf numFmtId="3" fontId="6" fillId="0" borderId="0" xfId="2" applyFont="1" applyFill="1"/>
    <xf numFmtId="168" fontId="5" fillId="0" borderId="0" xfId="2" applyNumberFormat="1" applyFont="1" applyFill="1"/>
    <xf numFmtId="168" fontId="13" fillId="0" borderId="0" xfId="4" applyNumberFormat="1" applyFont="1" applyFill="1"/>
    <xf numFmtId="3" fontId="6" fillId="0" borderId="0" xfId="2" applyFont="1" applyFill="1" applyAlignment="1">
      <alignment horizontal="left" indent="5"/>
    </xf>
    <xf numFmtId="3" fontId="12" fillId="0" borderId="0" xfId="2" applyFont="1" applyFill="1" applyBorder="1"/>
    <xf numFmtId="164" fontId="12" fillId="0" borderId="0" xfId="2" applyNumberFormat="1" applyFont="1" applyFill="1" applyBorder="1"/>
    <xf numFmtId="3" fontId="6" fillId="4" borderId="0" xfId="2" applyFont="1" applyFill="1" applyBorder="1" applyAlignment="1">
      <alignment horizontal="left" indent="2"/>
    </xf>
    <xf numFmtId="164" fontId="6" fillId="4" borderId="0" xfId="2" applyNumberFormat="1" applyFont="1" applyFill="1" applyBorder="1" applyAlignment="1">
      <alignment horizontal="right"/>
    </xf>
    <xf numFmtId="164" fontId="11" fillId="4" borderId="0" xfId="2" applyNumberFormat="1" applyFont="1" applyFill="1" applyBorder="1" applyAlignment="1">
      <alignment horizontal="right"/>
    </xf>
    <xf numFmtId="3" fontId="5" fillId="4" borderId="0" xfId="2" applyFont="1" applyFill="1"/>
    <xf numFmtId="167" fontId="13" fillId="4" borderId="0" xfId="4" applyNumberFormat="1" applyFont="1" applyFill="1"/>
    <xf numFmtId="0" fontId="0" fillId="4" borderId="0" xfId="0" applyFill="1" applyProtection="1"/>
    <xf numFmtId="3" fontId="6" fillId="4" borderId="0" xfId="2" applyFont="1" applyFill="1" applyAlignment="1">
      <alignment horizontal="left" indent="2"/>
    </xf>
    <xf numFmtId="164" fontId="6" fillId="4" borderId="0" xfId="2" applyNumberFormat="1" applyFont="1" applyFill="1" applyAlignment="1">
      <alignment horizontal="right"/>
    </xf>
    <xf numFmtId="164" fontId="11" fillId="4" borderId="0" xfId="2" applyNumberFormat="1" applyFont="1" applyFill="1" applyAlignment="1">
      <alignment horizontal="right"/>
    </xf>
    <xf numFmtId="3" fontId="6" fillId="0" borderId="0" xfId="2" applyFont="1" applyFill="1" applyAlignment="1">
      <alignment horizontal="left" indent="3"/>
    </xf>
    <xf numFmtId="164" fontId="11" fillId="0" borderId="0" xfId="2" applyNumberFormat="1" applyFont="1" applyFill="1" applyAlignment="1">
      <alignment horizontal="right"/>
    </xf>
    <xf numFmtId="3" fontId="6" fillId="0" borderId="0" xfId="2" applyFont="1" applyFill="1" applyAlignment="1">
      <alignment horizontal="left" wrapText="1" indent="2"/>
    </xf>
    <xf numFmtId="169" fontId="6" fillId="0" borderId="0" xfId="2" applyNumberFormat="1" applyFont="1" applyFill="1" applyAlignment="1">
      <alignment horizontal="right"/>
    </xf>
    <xf numFmtId="3" fontId="16" fillId="0" borderId="0" xfId="2" applyFont="1" applyFill="1" applyBorder="1"/>
    <xf numFmtId="164" fontId="17" fillId="0" borderId="0" xfId="2" applyNumberFormat="1" applyFont="1" applyFill="1" applyAlignment="1">
      <alignment horizontal="right"/>
    </xf>
    <xf numFmtId="3" fontId="18" fillId="0" borderId="0" xfId="2" applyFont="1" applyFill="1" applyBorder="1"/>
    <xf numFmtId="164" fontId="18" fillId="0" borderId="0" xfId="2" applyNumberFormat="1" applyFont="1" applyFill="1" applyBorder="1"/>
    <xf numFmtId="3" fontId="19" fillId="3" borderId="0" xfId="2" applyFont="1" applyFill="1" applyBorder="1"/>
    <xf numFmtId="164" fontId="11" fillId="3" borderId="0" xfId="2" applyNumberFormat="1" applyFont="1" applyFill="1" applyAlignment="1">
      <alignment horizontal="right"/>
    </xf>
    <xf numFmtId="3" fontId="5" fillId="3" borderId="0" xfId="2" applyFont="1" applyFill="1"/>
    <xf numFmtId="3" fontId="5" fillId="3" borderId="0" xfId="2" applyNumberFormat="1" applyFont="1" applyFill="1"/>
    <xf numFmtId="166" fontId="5" fillId="3" borderId="0" xfId="2" applyNumberFormat="1" applyFont="1" applyFill="1"/>
    <xf numFmtId="167" fontId="13" fillId="3" borderId="0" xfId="4" applyNumberFormat="1" applyFont="1" applyFill="1"/>
    <xf numFmtId="0" fontId="0" fillId="3" borderId="0" xfId="0" applyFill="1" applyProtection="1"/>
    <xf numFmtId="3" fontId="12" fillId="0" borderId="0" xfId="2" applyFont="1" applyFill="1" applyBorder="1" applyAlignment="1">
      <alignment vertical="center" wrapText="1"/>
    </xf>
    <xf numFmtId="164" fontId="20" fillId="0" borderId="0" xfId="0" applyNumberFormat="1" applyFont="1" applyFill="1" applyProtection="1"/>
    <xf numFmtId="164" fontId="11" fillId="0" borderId="0" xfId="0" applyNumberFormat="1" applyFont="1" applyFill="1" applyProtection="1"/>
    <xf numFmtId="170" fontId="20" fillId="0" borderId="0" xfId="1" applyNumberFormat="1" applyFont="1" applyFill="1" applyAlignment="1" applyProtection="1">
      <alignment horizontal="right"/>
    </xf>
    <xf numFmtId="170" fontId="20" fillId="0" borderId="0" xfId="5" applyNumberFormat="1" applyFont="1" applyFill="1" applyAlignment="1" applyProtection="1">
      <alignment horizontal="right"/>
    </xf>
    <xf numFmtId="170" fontId="11" fillId="0" borderId="0" xfId="5" applyNumberFormat="1" applyFont="1" applyFill="1" applyAlignment="1">
      <alignment horizontal="right"/>
    </xf>
    <xf numFmtId="170" fontId="6" fillId="0" borderId="0" xfId="5" applyNumberFormat="1" applyFont="1" applyFill="1" applyAlignment="1">
      <alignment horizontal="right"/>
    </xf>
    <xf numFmtId="3" fontId="11" fillId="0" borderId="0" xfId="2" applyFont="1" applyFill="1" applyBorder="1"/>
    <xf numFmtId="3" fontId="6" fillId="0" borderId="0" xfId="2" applyFont="1" applyFill="1" applyBorder="1" applyAlignment="1">
      <alignment horizontal="left" indent="2"/>
    </xf>
    <xf numFmtId="3" fontId="6" fillId="0" borderId="0" xfId="2" applyFont="1" applyFill="1" applyBorder="1" applyAlignment="1">
      <alignment horizontal="left" indent="5"/>
    </xf>
    <xf numFmtId="3" fontId="6" fillId="0" borderId="0" xfId="2" applyFont="1" applyFill="1" applyBorder="1" applyAlignment="1">
      <alignment horizontal="left" indent="3"/>
    </xf>
    <xf numFmtId="166" fontId="0" fillId="0" borderId="0" xfId="0" applyNumberFormat="1"/>
    <xf numFmtId="0" fontId="23" fillId="0" borderId="0" xfId="0" applyFont="1"/>
    <xf numFmtId="171" fontId="0" fillId="0" borderId="0" xfId="1" applyNumberFormat="1" applyFont="1"/>
    <xf numFmtId="17" fontId="5" fillId="4" borderId="1" xfId="2" applyNumberFormat="1" applyFont="1" applyFill="1" applyBorder="1" applyAlignment="1">
      <alignment horizontal="center" vertical="center"/>
    </xf>
    <xf numFmtId="0" fontId="0" fillId="0" borderId="0" xfId="0" applyBorder="1"/>
    <xf numFmtId="0" fontId="2" fillId="5" borderId="0" xfId="0" applyFont="1" applyFill="1"/>
    <xf numFmtId="0" fontId="0" fillId="0" borderId="0" xfId="0" applyFill="1"/>
    <xf numFmtId="0" fontId="0" fillId="0" borderId="0" xfId="0"/>
    <xf numFmtId="166" fontId="0" fillId="0" borderId="0" xfId="0" applyNumberFormat="1"/>
    <xf numFmtId="0" fontId="0" fillId="0" borderId="0" xfId="0" applyFont="1"/>
    <xf numFmtId="0" fontId="0" fillId="0" borderId="0" xfId="0" applyFont="1" applyBorder="1"/>
    <xf numFmtId="3" fontId="0" fillId="0" borderId="0" xfId="0" applyNumberFormat="1" applyFont="1" applyBorder="1"/>
    <xf numFmtId="164" fontId="11" fillId="3" borderId="0" xfId="2" applyNumberFormat="1" applyFont="1" applyFill="1" applyBorder="1" applyAlignment="1">
      <alignment horizontal="right"/>
    </xf>
    <xf numFmtId="164" fontId="6" fillId="0" borderId="0" xfId="2" applyNumberFormat="1" applyFont="1" applyBorder="1" applyAlignment="1">
      <alignment horizontal="right"/>
    </xf>
    <xf numFmtId="166" fontId="0" fillId="0" borderId="0" xfId="0" applyNumberFormat="1" applyBorder="1"/>
    <xf numFmtId="166" fontId="0" fillId="0" borderId="0" xfId="0" applyNumberFormat="1" applyFill="1" applyBorder="1"/>
    <xf numFmtId="3" fontId="9" fillId="0" borderId="0" xfId="9" applyNumberFormat="1" applyFont="1" applyFill="1" applyBorder="1" applyAlignment="1">
      <alignment horizontal="right"/>
    </xf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0" applyNumberFormat="1"/>
    <xf numFmtId="164" fontId="6" fillId="6" borderId="0" xfId="2" applyNumberFormat="1" applyFont="1" applyFill="1" applyAlignment="1">
      <alignment horizontal="right"/>
    </xf>
    <xf numFmtId="170" fontId="6" fillId="6" borderId="0" xfId="1" applyNumberFormat="1" applyFont="1" applyFill="1" applyAlignment="1">
      <alignment horizontal="right"/>
    </xf>
    <xf numFmtId="164" fontId="6" fillId="7" borderId="0" xfId="2" applyNumberFormat="1" applyFont="1" applyFill="1" applyAlignment="1">
      <alignment horizontal="right"/>
    </xf>
    <xf numFmtId="170" fontId="6" fillId="7" borderId="0" xfId="1" applyNumberFormat="1" applyFont="1" applyFill="1" applyAlignment="1">
      <alignment horizontal="right"/>
    </xf>
    <xf numFmtId="170" fontId="6" fillId="7" borderId="0" xfId="2" applyNumberFormat="1" applyFont="1" applyFill="1" applyAlignment="1">
      <alignment horizontal="right"/>
    </xf>
    <xf numFmtId="164" fontId="11" fillId="7" borderId="0" xfId="2" applyNumberFormat="1" applyFont="1" applyFill="1" applyAlignment="1">
      <alignment horizontal="right"/>
    </xf>
    <xf numFmtId="170" fontId="11" fillId="7" borderId="0" xfId="1" applyNumberFormat="1" applyFont="1" applyFill="1" applyAlignment="1">
      <alignment horizontal="right"/>
    </xf>
    <xf numFmtId="164" fontId="6" fillId="8" borderId="0" xfId="2" applyNumberFormat="1" applyFont="1" applyFill="1" applyAlignment="1">
      <alignment horizontal="right"/>
    </xf>
    <xf numFmtId="164" fontId="6" fillId="8" borderId="0" xfId="2" applyNumberFormat="1" applyFont="1" applyFill="1" applyBorder="1" applyAlignment="1">
      <alignment horizontal="right"/>
    </xf>
    <xf numFmtId="3" fontId="0" fillId="0" borderId="2" xfId="0" applyNumberFormat="1" applyFill="1" applyBorder="1"/>
    <xf numFmtId="0" fontId="24" fillId="0" borderId="0" xfId="0" applyFont="1"/>
    <xf numFmtId="0" fontId="0" fillId="0" borderId="6" xfId="0" applyBorder="1"/>
    <xf numFmtId="0" fontId="0" fillId="0" borderId="7" xfId="0" applyBorder="1"/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3" fontId="0" fillId="0" borderId="0" xfId="0" applyNumberFormat="1"/>
    <xf numFmtId="3" fontId="2" fillId="9" borderId="0" xfId="0" applyNumberFormat="1" applyFont="1" applyFill="1"/>
    <xf numFmtId="3" fontId="6" fillId="11" borderId="0" xfId="2" applyNumberFormat="1" applyFont="1" applyFill="1" applyAlignment="1">
      <alignment horizontal="right"/>
    </xf>
    <xf numFmtId="0" fontId="0" fillId="12" borderId="0" xfId="0" applyFill="1" applyBorder="1"/>
    <xf numFmtId="17" fontId="5" fillId="12" borderId="1" xfId="2" applyNumberFormat="1" applyFont="1" applyFill="1" applyBorder="1" applyAlignment="1">
      <alignment horizontal="center" vertical="center"/>
    </xf>
    <xf numFmtId="0" fontId="0" fillId="12" borderId="0" xfId="0" applyFont="1" applyFill="1" applyBorder="1"/>
    <xf numFmtId="3" fontId="0" fillId="12" borderId="0" xfId="0" applyNumberFormat="1" applyFont="1" applyFill="1" applyBorder="1"/>
    <xf numFmtId="164" fontId="6" fillId="12" borderId="0" xfId="2" applyNumberFormat="1" applyFont="1" applyFill="1" applyBorder="1" applyAlignment="1">
      <alignment horizontal="right"/>
    </xf>
    <xf numFmtId="164" fontId="0" fillId="12" borderId="0" xfId="2" applyNumberFormat="1" applyFont="1" applyFill="1" applyBorder="1" applyAlignment="1">
      <alignment horizontal="right"/>
    </xf>
    <xf numFmtId="164" fontId="6" fillId="12" borderId="0" xfId="2" applyNumberFormat="1" applyFont="1" applyFill="1" applyAlignment="1">
      <alignment horizontal="right"/>
    </xf>
    <xf numFmtId="166" fontId="0" fillId="12" borderId="0" xfId="0" applyNumberFormat="1" applyFill="1" applyBorder="1"/>
    <xf numFmtId="0" fontId="0" fillId="12" borderId="0" xfId="0" applyFill="1"/>
    <xf numFmtId="0" fontId="2" fillId="10" borderId="0" xfId="0" applyFont="1" applyFill="1"/>
    <xf numFmtId="0" fontId="22" fillId="13" borderId="0" xfId="2" applyNumberFormat="1" applyFont="1" applyFill="1" applyAlignment="1">
      <alignment horizontal="left"/>
    </xf>
    <xf numFmtId="3" fontId="27" fillId="0" borderId="0" xfId="2" applyFont="1" applyFill="1" applyAlignment="1">
      <alignment horizontal="center"/>
    </xf>
    <xf numFmtId="0" fontId="22" fillId="0" borderId="0" xfId="2" applyNumberFormat="1" applyFont="1" applyFill="1" applyAlignment="1">
      <alignment horizontal="left"/>
    </xf>
    <xf numFmtId="0" fontId="4" fillId="0" borderId="0" xfId="2" applyNumberFormat="1" applyBorder="1" applyProtection="1"/>
    <xf numFmtId="0" fontId="4" fillId="0" borderId="0" xfId="2" applyNumberFormat="1" applyProtection="1"/>
    <xf numFmtId="3" fontId="28" fillId="0" borderId="0" xfId="2" applyFont="1" applyBorder="1" applyAlignment="1">
      <alignment horizontal="center"/>
    </xf>
    <xf numFmtId="3" fontId="28" fillId="0" borderId="0" xfId="2" applyFont="1" applyFill="1" applyBorder="1" applyAlignment="1">
      <alignment horizontal="center"/>
    </xf>
    <xf numFmtId="3" fontId="22" fillId="0" borderId="0" xfId="2" applyFont="1" applyBorder="1"/>
    <xf numFmtId="3" fontId="22" fillId="0" borderId="0" xfId="2" applyFont="1"/>
    <xf numFmtId="0" fontId="30" fillId="0" borderId="0" xfId="2" applyNumberFormat="1" applyFont="1" applyBorder="1" applyProtection="1"/>
    <xf numFmtId="0" fontId="30" fillId="0" borderId="0" xfId="2" applyNumberFormat="1" applyFont="1" applyFill="1" applyBorder="1" applyProtection="1"/>
    <xf numFmtId="3" fontId="20" fillId="0" borderId="0" xfId="2" applyNumberFormat="1" applyFont="1" applyFill="1" applyProtection="1"/>
    <xf numFmtId="3" fontId="11" fillId="0" borderId="0" xfId="2" applyFont="1" applyFill="1" applyBorder="1" applyAlignment="1">
      <alignment horizontal="center"/>
    </xf>
    <xf numFmtId="3" fontId="14" fillId="0" borderId="0" xfId="2" applyFont="1" applyFill="1" applyBorder="1"/>
    <xf numFmtId="164" fontId="14" fillId="0" borderId="0" xfId="2" applyNumberFormat="1" applyFont="1" applyFill="1" applyAlignment="1">
      <alignment horizontal="center"/>
    </xf>
    <xf numFmtId="173" fontId="11" fillId="0" borderId="0" xfId="2" applyNumberFormat="1" applyFont="1" applyFill="1" applyBorder="1"/>
    <xf numFmtId="164" fontId="11" fillId="0" borderId="0" xfId="2" applyNumberFormat="1" applyFont="1" applyFill="1" applyAlignment="1">
      <alignment horizontal="center"/>
    </xf>
    <xf numFmtId="9" fontId="11" fillId="0" borderId="0" xfId="8" applyFont="1" applyFill="1"/>
    <xf numFmtId="164" fontId="6" fillId="0" borderId="0" xfId="2" applyNumberFormat="1" applyFont="1" applyFill="1" applyAlignment="1">
      <alignment horizontal="center"/>
    </xf>
    <xf numFmtId="0" fontId="8" fillId="0" borderId="0" xfId="2" applyNumberFormat="1" applyFont="1" applyFill="1" applyProtection="1"/>
    <xf numFmtId="9" fontId="6" fillId="0" borderId="0" xfId="8" applyFont="1" applyFill="1"/>
    <xf numFmtId="174" fontId="6" fillId="0" borderId="0" xfId="2" applyNumberFormat="1" applyFont="1" applyFill="1"/>
    <xf numFmtId="164" fontId="14" fillId="0" borderId="0" xfId="2" applyNumberFormat="1" applyFont="1" applyFill="1" applyBorder="1" applyAlignment="1">
      <alignment horizontal="center"/>
    </xf>
    <xf numFmtId="164" fontId="6" fillId="0" borderId="0" xfId="2" applyNumberFormat="1" applyFont="1" applyFill="1" applyBorder="1" applyAlignment="1">
      <alignment horizontal="center"/>
    </xf>
    <xf numFmtId="3" fontId="4" fillId="0" borderId="0" xfId="2"/>
    <xf numFmtId="3" fontId="6" fillId="0" borderId="0" xfId="2" applyFont="1" applyFill="1" applyBorder="1" applyAlignment="1">
      <alignment horizontal="left" wrapText="1" indent="2"/>
    </xf>
    <xf numFmtId="3" fontId="32" fillId="0" borderId="0" xfId="2" applyFont="1" applyFill="1" applyBorder="1"/>
    <xf numFmtId="164" fontId="17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75" fontId="6" fillId="0" borderId="0" xfId="2" applyNumberFormat="1" applyFont="1" applyFill="1"/>
    <xf numFmtId="176" fontId="6" fillId="0" borderId="0" xfId="2" applyNumberFormat="1" applyFont="1" applyFill="1"/>
    <xf numFmtId="173" fontId="8" fillId="0" borderId="0" xfId="2" applyNumberFormat="1" applyFont="1" applyFill="1" applyProtection="1"/>
    <xf numFmtId="164" fontId="8" fillId="0" borderId="0" xfId="2" applyNumberFormat="1" applyFont="1" applyFill="1" applyProtection="1"/>
    <xf numFmtId="164" fontId="11" fillId="0" borderId="12" xfId="2" applyNumberFormat="1" applyFont="1" applyFill="1" applyBorder="1" applyAlignment="1">
      <alignment horizontal="center"/>
    </xf>
    <xf numFmtId="164" fontId="32" fillId="0" borderId="12" xfId="2" applyNumberFormat="1" applyFont="1" applyFill="1" applyBorder="1" applyAlignment="1">
      <alignment horizontal="center"/>
    </xf>
    <xf numFmtId="3" fontId="14" fillId="0" borderId="0" xfId="2" applyFont="1" applyFill="1" applyBorder="1" applyAlignment="1">
      <alignment vertical="center" wrapText="1"/>
    </xf>
    <xf numFmtId="164" fontId="14" fillId="0" borderId="0" xfId="2" applyNumberFormat="1" applyFont="1" applyFill="1" applyBorder="1" applyAlignment="1">
      <alignment horizontal="center" vertical="center" wrapText="1"/>
    </xf>
    <xf numFmtId="164" fontId="20" fillId="0" borderId="0" xfId="2" applyNumberFormat="1" applyFont="1" applyFill="1" applyAlignment="1" applyProtection="1">
      <alignment horizontal="center"/>
    </xf>
    <xf numFmtId="0" fontId="8" fillId="0" borderId="0" xfId="2" applyNumberFormat="1" applyFont="1" applyProtection="1"/>
    <xf numFmtId="0" fontId="8" fillId="0" borderId="0" xfId="2" applyNumberFormat="1" applyFont="1" applyFill="1" applyBorder="1" applyProtection="1"/>
    <xf numFmtId="164" fontId="11" fillId="0" borderId="0" xfId="2" applyNumberFormat="1" applyFont="1" applyFill="1" applyAlignment="1" applyProtection="1">
      <alignment horizontal="center"/>
    </xf>
    <xf numFmtId="164" fontId="20" fillId="0" borderId="0" xfId="2" applyNumberFormat="1" applyFont="1" applyAlignment="1" applyProtection="1">
      <alignment horizontal="center"/>
    </xf>
    <xf numFmtId="164" fontId="11" fillId="0" borderId="0" xfId="2" applyNumberFormat="1" applyFont="1" applyAlignment="1" applyProtection="1">
      <alignment horizontal="center"/>
    </xf>
    <xf numFmtId="164" fontId="4" fillId="0" borderId="0" xfId="2" applyNumberFormat="1" applyFill="1" applyAlignment="1" applyProtection="1">
      <alignment horizontal="center"/>
    </xf>
    <xf numFmtId="164" fontId="4" fillId="0" borderId="0" xfId="2" applyNumberFormat="1" applyAlignment="1" applyProtection="1">
      <alignment horizontal="center"/>
    </xf>
    <xf numFmtId="3" fontId="34" fillId="13" borderId="0" xfId="2" applyFont="1" applyFill="1" applyAlignment="1">
      <alignment horizontal="left"/>
    </xf>
    <xf numFmtId="0" fontId="4" fillId="0" borderId="0" xfId="2" applyNumberFormat="1" applyFill="1" applyProtection="1"/>
    <xf numFmtId="166" fontId="4" fillId="0" borderId="0" xfId="2" applyNumberFormat="1" applyProtection="1"/>
    <xf numFmtId="3" fontId="11" fillId="13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7" fillId="0" borderId="0" xfId="2" applyFont="1" applyAlignment="1">
      <alignment horizontal="center"/>
    </xf>
    <xf numFmtId="3" fontId="29" fillId="0" borderId="0" xfId="2" applyFont="1" applyBorder="1" applyAlignment="1">
      <alignment horizontal="center"/>
    </xf>
    <xf numFmtId="3" fontId="20" fillId="0" borderId="0" xfId="2" applyNumberFormat="1" applyFont="1" applyProtection="1"/>
    <xf numFmtId="170" fontId="11" fillId="0" borderId="0" xfId="8" applyNumberFormat="1" applyFont="1" applyFill="1"/>
    <xf numFmtId="9" fontId="8" fillId="0" borderId="0" xfId="8" applyFont="1" applyFill="1" applyProtection="1"/>
    <xf numFmtId="173" fontId="11" fillId="0" borderId="0" xfId="2" applyNumberFormat="1" applyFont="1" applyFill="1"/>
    <xf numFmtId="3" fontId="8" fillId="0" borderId="0" xfId="2" applyNumberFormat="1" applyFont="1" applyFill="1" applyProtection="1"/>
    <xf numFmtId="3" fontId="32" fillId="0" borderId="12" xfId="2" applyFont="1" applyFill="1" applyBorder="1"/>
    <xf numFmtId="177" fontId="11" fillId="0" borderId="0" xfId="2" applyNumberFormat="1" applyFont="1" applyFill="1"/>
    <xf numFmtId="3" fontId="14" fillId="0" borderId="0" xfId="2" applyFont="1" applyFill="1" applyBorder="1" applyAlignment="1">
      <alignment vertical="center"/>
    </xf>
    <xf numFmtId="164" fontId="8" fillId="0" borderId="0" xfId="2" applyNumberFormat="1" applyFont="1" applyAlignment="1" applyProtection="1">
      <alignment horizontal="center"/>
    </xf>
    <xf numFmtId="164" fontId="20" fillId="0" borderId="0" xfId="2" applyNumberFormat="1" applyFont="1" applyProtection="1"/>
    <xf numFmtId="3" fontId="40" fillId="0" borderId="0" xfId="2" applyFont="1"/>
    <xf numFmtId="170" fontId="40" fillId="0" borderId="0" xfId="8" applyNumberFormat="1" applyFont="1"/>
    <xf numFmtId="3" fontId="25" fillId="0" borderId="0" xfId="2" applyFont="1"/>
    <xf numFmtId="0" fontId="41" fillId="0" borderId="2" xfId="0" applyFont="1" applyBorder="1" applyAlignment="1">
      <alignment horizontal="center"/>
    </xf>
    <xf numFmtId="0" fontId="0" fillId="0" borderId="13" xfId="0" pivotButton="1" applyBorder="1"/>
    <xf numFmtId="0" fontId="0" fillId="0" borderId="14" xfId="0" applyBorder="1"/>
    <xf numFmtId="170" fontId="0" fillId="0" borderId="14" xfId="1" applyNumberFormat="1" applyFont="1" applyBorder="1"/>
    <xf numFmtId="166" fontId="0" fillId="0" borderId="14" xfId="0" applyNumberFormat="1" applyBorder="1"/>
    <xf numFmtId="0" fontId="0" fillId="0" borderId="14" xfId="0" pivotButton="1" applyBorder="1"/>
    <xf numFmtId="3" fontId="0" fillId="0" borderId="14" xfId="0" applyNumberFormat="1" applyBorder="1"/>
    <xf numFmtId="0" fontId="0" fillId="0" borderId="15" xfId="0" applyBorder="1"/>
    <xf numFmtId="170" fontId="0" fillId="14" borderId="13" xfId="1" applyNumberFormat="1" applyFont="1" applyFill="1" applyBorder="1"/>
    <xf numFmtId="170" fontId="0" fillId="14" borderId="14" xfId="1" applyNumberFormat="1" applyFont="1" applyFill="1" applyBorder="1"/>
    <xf numFmtId="178" fontId="0" fillId="0" borderId="13" xfId="0" pivotButton="1" applyNumberFormat="1" applyBorder="1"/>
    <xf numFmtId="178" fontId="0" fillId="0" borderId="13" xfId="0" applyNumberFormat="1" applyBorder="1"/>
    <xf numFmtId="170" fontId="26" fillId="0" borderId="14" xfId="1" applyNumberFormat="1" applyFont="1" applyBorder="1"/>
    <xf numFmtId="9" fontId="0" fillId="0" borderId="14" xfId="1" applyNumberFormat="1" applyFont="1" applyBorder="1"/>
    <xf numFmtId="9" fontId="0" fillId="0" borderId="15" xfId="1" applyNumberFormat="1" applyFont="1" applyBorder="1"/>
    <xf numFmtId="3" fontId="6" fillId="11" borderId="0" xfId="2" applyNumberFormat="1" applyFont="1" applyFill="1" applyBorder="1" applyAlignment="1">
      <alignment horizontal="right"/>
    </xf>
    <xf numFmtId="3" fontId="25" fillId="0" borderId="0" xfId="2" applyFont="1" applyAlignment="1">
      <alignment horizontal="left" vertical="top"/>
    </xf>
    <xf numFmtId="170" fontId="39" fillId="0" borderId="0" xfId="8" applyNumberFormat="1" applyFont="1" applyFill="1"/>
    <xf numFmtId="3" fontId="4" fillId="0" borderId="0" xfId="2" applyBorder="1"/>
    <xf numFmtId="49" fontId="42" fillId="0" borderId="0" xfId="2" applyNumberFormat="1" applyFont="1" applyBorder="1" applyAlignment="1">
      <alignment horizontal="center" vertical="center"/>
    </xf>
    <xf numFmtId="3" fontId="39" fillId="0" borderId="16" xfId="2" applyFont="1" applyFill="1" applyBorder="1" applyAlignment="1">
      <alignment horizontal="left" vertical="center" indent="2"/>
    </xf>
    <xf numFmtId="3" fontId="39" fillId="0" borderId="16" xfId="2" applyFont="1" applyFill="1" applyBorder="1" applyAlignment="1">
      <alignment vertical="center"/>
    </xf>
    <xf numFmtId="170" fontId="39" fillId="0" borderId="16" xfId="8" applyNumberFormat="1" applyFont="1" applyFill="1" applyBorder="1" applyAlignment="1">
      <alignment vertical="center"/>
    </xf>
    <xf numFmtId="3" fontId="40" fillId="0" borderId="0" xfId="2" applyFont="1" applyBorder="1" applyAlignment="1">
      <alignment horizontal="left" indent="2"/>
    </xf>
    <xf numFmtId="3" fontId="40" fillId="0" borderId="0" xfId="2" applyFont="1" applyBorder="1"/>
    <xf numFmtId="170" fontId="40" fillId="0" borderId="0" xfId="8" applyNumberFormat="1" applyFont="1" applyBorder="1"/>
    <xf numFmtId="3" fontId="40" fillId="0" borderId="0" xfId="2" applyFont="1" applyAlignment="1">
      <alignment horizontal="left" indent="2"/>
    </xf>
    <xf numFmtId="3" fontId="40" fillId="0" borderId="17" xfId="2" applyFont="1" applyBorder="1" applyAlignment="1">
      <alignment horizontal="left" indent="2"/>
    </xf>
    <xf numFmtId="3" fontId="40" fillId="0" borderId="17" xfId="2" applyFont="1" applyBorder="1"/>
    <xf numFmtId="170" fontId="40" fillId="0" borderId="17" xfId="8" applyNumberFormat="1" applyFont="1" applyBorder="1"/>
    <xf numFmtId="49" fontId="42" fillId="0" borderId="0" xfId="2" applyNumberFormat="1" applyFont="1" applyAlignment="1">
      <alignment horizontal="center" vertical="center"/>
    </xf>
    <xf numFmtId="3" fontId="39" fillId="0" borderId="18" xfId="2" applyFont="1" applyFill="1" applyBorder="1" applyAlignment="1"/>
    <xf numFmtId="170" fontId="39" fillId="0" borderId="18" xfId="8" applyNumberFormat="1" applyFont="1" applyFill="1" applyBorder="1"/>
    <xf numFmtId="3" fontId="40" fillId="0" borderId="0" xfId="2" applyFont="1" applyAlignment="1">
      <alignment wrapText="1"/>
    </xf>
    <xf numFmtId="3" fontId="40" fillId="0" borderId="0" xfId="2" applyFont="1" applyAlignment="1">
      <alignment vertical="center"/>
    </xf>
    <xf numFmtId="170" fontId="40" fillId="0" borderId="0" xfId="8" applyNumberFormat="1" applyFont="1" applyAlignment="1">
      <alignment vertical="center"/>
    </xf>
    <xf numFmtId="3" fontId="40" fillId="0" borderId="19" xfId="2" applyFont="1" applyBorder="1"/>
    <xf numFmtId="170" fontId="40" fillId="0" borderId="19" xfId="8" applyNumberFormat="1" applyFont="1" applyBorder="1"/>
    <xf numFmtId="0" fontId="0" fillId="0" borderId="14" xfId="0" applyFill="1" applyBorder="1"/>
    <xf numFmtId="166" fontId="0" fillId="0" borderId="14" xfId="0" applyNumberFormat="1" applyFill="1" applyBorder="1"/>
    <xf numFmtId="170" fontId="0" fillId="0" borderId="14" xfId="1" applyNumberFormat="1" applyFont="1" applyFill="1" applyBorder="1"/>
    <xf numFmtId="3" fontId="43" fillId="0" borderId="0" xfId="11" quotePrefix="1" applyNumberFormat="1"/>
    <xf numFmtId="0" fontId="43" fillId="0" borderId="0" xfId="11" applyNumberFormat="1" applyProtection="1"/>
    <xf numFmtId="164" fontId="20" fillId="0" borderId="0" xfId="2" applyNumberFormat="1" applyFont="1" applyFill="1" applyAlignment="1">
      <alignment horizontal="center"/>
    </xf>
    <xf numFmtId="164" fontId="31" fillId="0" borderId="0" xfId="2" applyNumberFormat="1" applyFont="1" applyFill="1" applyAlignment="1">
      <alignment horizontal="center"/>
    </xf>
    <xf numFmtId="164" fontId="31" fillId="0" borderId="0" xfId="2" applyNumberFormat="1" applyFont="1" applyFill="1" applyBorder="1" applyAlignment="1">
      <alignment horizontal="center"/>
    </xf>
    <xf numFmtId="164" fontId="33" fillId="0" borderId="0" xfId="2" applyNumberFormat="1" applyFont="1" applyFill="1" applyAlignment="1">
      <alignment horizontal="center"/>
    </xf>
    <xf numFmtId="164" fontId="31" fillId="0" borderId="12" xfId="2" applyNumberFormat="1" applyFont="1" applyFill="1" applyBorder="1" applyAlignment="1">
      <alignment horizontal="center"/>
    </xf>
    <xf numFmtId="3" fontId="11" fillId="0" borderId="0" xfId="2" applyFont="1" applyFill="1" applyBorder="1" applyAlignment="1">
      <alignment horizontal="left" indent="2"/>
    </xf>
    <xf numFmtId="164" fontId="11" fillId="0" borderId="0" xfId="2" applyNumberFormat="1" applyFont="1" applyFill="1" applyBorder="1" applyAlignment="1">
      <alignment horizontal="center"/>
    </xf>
    <xf numFmtId="171" fontId="0" fillId="0" borderId="0" xfId="0" applyNumberFormat="1"/>
    <xf numFmtId="3" fontId="11" fillId="0" borderId="5" xfId="2" applyFont="1" applyFill="1" applyBorder="1" applyAlignment="1">
      <alignment horizontal="center" vertical="center" wrapText="1"/>
    </xf>
    <xf numFmtId="3" fontId="11" fillId="0" borderId="4" xfId="2" applyFont="1" applyFill="1" applyBorder="1" applyAlignment="1">
      <alignment horizontal="center" vertical="center" wrapText="1"/>
    </xf>
    <xf numFmtId="3" fontId="28" fillId="0" borderId="0" xfId="2" applyFont="1" applyBorder="1" applyAlignment="1">
      <alignment horizontal="center"/>
    </xf>
    <xf numFmtId="3" fontId="29" fillId="0" borderId="0" xfId="2" applyFont="1" applyBorder="1" applyAlignment="1">
      <alignment horizontal="center"/>
    </xf>
    <xf numFmtId="3" fontId="11" fillId="0" borderId="5" xfId="2" applyFont="1" applyFill="1" applyBorder="1" applyAlignment="1">
      <alignment horizontal="center" vertical="center"/>
    </xf>
    <xf numFmtId="3" fontId="11" fillId="0" borderId="4" xfId="2" applyFont="1" applyFill="1" applyBorder="1" applyAlignment="1">
      <alignment horizontal="center" vertical="center"/>
    </xf>
    <xf numFmtId="3" fontId="31" fillId="0" borderId="5" xfId="2" applyFont="1" applyFill="1" applyBorder="1" applyAlignment="1">
      <alignment horizontal="center" vertical="center" wrapText="1"/>
    </xf>
    <xf numFmtId="3" fontId="31" fillId="0" borderId="4" xfId="2" applyFont="1" applyFill="1" applyBorder="1" applyAlignment="1">
      <alignment horizontal="center" vertical="center" wrapText="1"/>
    </xf>
  </cellXfs>
  <cellStyles count="12">
    <cellStyle name="Hipervínculo" xfId="11" builtinId="8"/>
    <cellStyle name="Millares [0] 2" xfId="6"/>
    <cellStyle name="Millares [0] 3" xfId="10"/>
    <cellStyle name="Millares 2" xfId="4"/>
    <cellStyle name="Millares_CUENTA 1" xfId="9"/>
    <cellStyle name="Normal" xfId="0" builtinId="0"/>
    <cellStyle name="Normal 2" xfId="7"/>
    <cellStyle name="Normal 3" xfId="2"/>
    <cellStyle name="Normal_Cuentas cuadros de coyuntura(jun07)_Anexo Estadístico NOVIEMBRE 2008 IMAEP" xfId="3"/>
    <cellStyle name="Porcentaje" xfId="1" builtinId="5"/>
    <cellStyle name="Porcentaje 2" xfId="5"/>
    <cellStyle name="Porcentaje 3" xfId="8"/>
  </cellStyles>
  <dxfs count="111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solid">
          <fgColor indexed="64"/>
          <bgColor theme="9" tint="0.59999389629810485"/>
        </patternFill>
      </fill>
      <alignment horizontal="right" vertical="bottom" textRotation="0" wrapText="0" indent="0" justifyLastLine="0" shrinkToFit="0" readingOrder="0"/>
    </dxf>
    <dxf>
      <numFmt numFmtId="166" formatCode="#,##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0.0%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399975585192419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0.0%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0.0%"/>
      <fill>
        <patternFill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0.0%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70" formatCode="0.0%"/>
      <fill>
        <patternFill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5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7" tint="0.5999938962981048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4" formatCode="#,##0.0;\(#,##0.0\)"/>
      <fill>
        <patternFill patternType="solid">
          <fgColor indexed="64"/>
          <bgColor theme="0" tint="-0.1499984740745262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22" formatCode="mmm\-yy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/>
        <top/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</dxf>
  </dxfs>
  <tableStyles count="0" defaultTableStyle="TableStyleMedium2" defaultPivotStyle="PivotStyleLight16"/>
  <colors>
    <mruColors>
      <color rgb="FFFF99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3.xml"/><Relationship Id="rId21" Type="http://schemas.openxmlformats.org/officeDocument/2006/relationships/sheetMetadata" Target="metadata.xml"/><Relationship Id="rId42" Type="http://schemas.openxmlformats.org/officeDocument/2006/relationships/customXml" Target="../customXml/item19.xml"/><Relationship Id="rId47" Type="http://schemas.openxmlformats.org/officeDocument/2006/relationships/customXml" Target="../customXml/item24.xml"/><Relationship Id="rId63" Type="http://schemas.openxmlformats.org/officeDocument/2006/relationships/customXml" Target="../customXml/item40.xml"/><Relationship Id="rId68" Type="http://schemas.openxmlformats.org/officeDocument/2006/relationships/customXml" Target="../customXml/item45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9" Type="http://schemas.openxmlformats.org/officeDocument/2006/relationships/customXml" Target="../customXml/item6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45" Type="http://schemas.openxmlformats.org/officeDocument/2006/relationships/customXml" Target="../customXml/item22.xml"/><Relationship Id="rId53" Type="http://schemas.openxmlformats.org/officeDocument/2006/relationships/customXml" Target="../customXml/item30.xml"/><Relationship Id="rId58" Type="http://schemas.openxmlformats.org/officeDocument/2006/relationships/customXml" Target="../customXml/item35.xml"/><Relationship Id="rId66" Type="http://schemas.openxmlformats.org/officeDocument/2006/relationships/customXml" Target="../customXml/item43.xml"/><Relationship Id="rId74" Type="http://schemas.openxmlformats.org/officeDocument/2006/relationships/customXml" Target="../customXml/item5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8.xml"/><Relationship Id="rId19" Type="http://schemas.openxmlformats.org/officeDocument/2006/relationships/styles" Target="styles.xml"/><Relationship Id="rId14" Type="http://schemas.openxmlformats.org/officeDocument/2006/relationships/pivotCacheDefinition" Target="pivotCache/pivotCacheDefinition6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openxmlformats.org/officeDocument/2006/relationships/customXml" Target="../customXml/item20.xml"/><Relationship Id="rId48" Type="http://schemas.openxmlformats.org/officeDocument/2006/relationships/customXml" Target="../customXml/item25.xml"/><Relationship Id="rId56" Type="http://schemas.openxmlformats.org/officeDocument/2006/relationships/customXml" Target="../customXml/item33.xml"/><Relationship Id="rId64" Type="http://schemas.openxmlformats.org/officeDocument/2006/relationships/customXml" Target="../customXml/item41.xml"/><Relationship Id="rId69" Type="http://schemas.openxmlformats.org/officeDocument/2006/relationships/customXml" Target="../customXml/item46.xml"/><Relationship Id="rId8" Type="http://schemas.openxmlformats.org/officeDocument/2006/relationships/externalLink" Target="externalLinks/externalLink1.xml"/><Relationship Id="rId51" Type="http://schemas.openxmlformats.org/officeDocument/2006/relationships/customXml" Target="../customXml/item28.xml"/><Relationship Id="rId72" Type="http://schemas.openxmlformats.org/officeDocument/2006/relationships/customXml" Target="../customXml/item49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4.xml"/><Relationship Id="rId17" Type="http://schemas.openxmlformats.org/officeDocument/2006/relationships/theme" Target="theme/theme1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46" Type="http://schemas.openxmlformats.org/officeDocument/2006/relationships/customXml" Target="../customXml/item23.xml"/><Relationship Id="rId59" Type="http://schemas.openxmlformats.org/officeDocument/2006/relationships/customXml" Target="../customXml/item36.xml"/><Relationship Id="rId67" Type="http://schemas.openxmlformats.org/officeDocument/2006/relationships/customXml" Target="../customXml/item44.xml"/><Relationship Id="rId20" Type="http://schemas.openxmlformats.org/officeDocument/2006/relationships/sharedStrings" Target="sharedStrings.xml"/><Relationship Id="rId41" Type="http://schemas.openxmlformats.org/officeDocument/2006/relationships/customXml" Target="../customXml/item18.xml"/><Relationship Id="rId54" Type="http://schemas.openxmlformats.org/officeDocument/2006/relationships/customXml" Target="../customXml/item31.xml"/><Relationship Id="rId62" Type="http://schemas.openxmlformats.org/officeDocument/2006/relationships/customXml" Target="../customXml/item39.xml"/><Relationship Id="rId70" Type="http://schemas.openxmlformats.org/officeDocument/2006/relationships/customXml" Target="../customXml/item4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7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49" Type="http://schemas.openxmlformats.org/officeDocument/2006/relationships/customXml" Target="../customXml/item26.xml"/><Relationship Id="rId57" Type="http://schemas.openxmlformats.org/officeDocument/2006/relationships/customXml" Target="../customXml/item34.xml"/><Relationship Id="rId10" Type="http://schemas.openxmlformats.org/officeDocument/2006/relationships/pivotCacheDefinition" Target="pivotCache/pivotCacheDefinition2.xml"/><Relationship Id="rId31" Type="http://schemas.openxmlformats.org/officeDocument/2006/relationships/customXml" Target="../customXml/item8.xml"/><Relationship Id="rId44" Type="http://schemas.openxmlformats.org/officeDocument/2006/relationships/customXml" Target="../customXml/item21.xml"/><Relationship Id="rId52" Type="http://schemas.openxmlformats.org/officeDocument/2006/relationships/customXml" Target="../customXml/item29.xml"/><Relationship Id="rId60" Type="http://schemas.openxmlformats.org/officeDocument/2006/relationships/customXml" Target="../customXml/item37.xml"/><Relationship Id="rId65" Type="http://schemas.openxmlformats.org/officeDocument/2006/relationships/customXml" Target="../customXml/item42.xml"/><Relationship Id="rId73" Type="http://schemas.openxmlformats.org/officeDocument/2006/relationships/customXml" Target="../customXml/item50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5.xml"/><Relationship Id="rId18" Type="http://schemas.openxmlformats.org/officeDocument/2006/relationships/connections" Target="connections.xml"/><Relationship Id="rId39" Type="http://schemas.openxmlformats.org/officeDocument/2006/relationships/customXml" Target="../customXml/item16.xml"/><Relationship Id="rId34" Type="http://schemas.openxmlformats.org/officeDocument/2006/relationships/customXml" Target="../customXml/item11.xml"/><Relationship Id="rId50" Type="http://schemas.openxmlformats.org/officeDocument/2006/relationships/customXml" Target="../customXml/item27.xml"/><Relationship Id="rId55" Type="http://schemas.openxmlformats.org/officeDocument/2006/relationships/customXml" Target="../customXml/item32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40</xdr:row>
      <xdr:rowOff>104775</xdr:rowOff>
    </xdr:from>
    <xdr:to>
      <xdr:col>5</xdr:col>
      <xdr:colOff>323850</xdr:colOff>
      <xdr:row>44</xdr:row>
      <xdr:rowOff>161925</xdr:rowOff>
    </xdr:to>
    <xdr:sp macro="" textlink="">
      <xdr:nvSpPr>
        <xdr:cNvPr id="130" name="CuadroTexto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4057650" y="7839075"/>
          <a:ext cx="1533525" cy="781050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4</xdr:col>
      <xdr:colOff>228600</xdr:colOff>
      <xdr:row>34</xdr:row>
      <xdr:rowOff>47625</xdr:rowOff>
    </xdr:from>
    <xdr:to>
      <xdr:col>5</xdr:col>
      <xdr:colOff>285750</xdr:colOff>
      <xdr:row>37</xdr:row>
      <xdr:rowOff>209550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4048125" y="6638925"/>
          <a:ext cx="1504950" cy="704850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4</xdr:col>
      <xdr:colOff>164253</xdr:colOff>
      <xdr:row>26</xdr:row>
      <xdr:rowOff>158538</xdr:rowOff>
    </xdr:from>
    <xdr:to>
      <xdr:col>8</xdr:col>
      <xdr:colOff>154728</xdr:colOff>
      <xdr:row>30</xdr:row>
      <xdr:rowOff>158536</xdr:rowOff>
    </xdr:to>
    <xdr:sp macro="" textlink="">
      <xdr:nvSpPr>
        <xdr:cNvPr id="122" name="CuadroTexto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3983778" y="5140113"/>
          <a:ext cx="3752850" cy="73342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0</xdr:col>
      <xdr:colOff>9525</xdr:colOff>
      <xdr:row>26</xdr:row>
      <xdr:rowOff>142875</xdr:rowOff>
    </xdr:from>
    <xdr:to>
      <xdr:col>3</xdr:col>
      <xdr:colOff>838200</xdr:colOff>
      <xdr:row>28</xdr:row>
      <xdr:rowOff>17583</xdr:rowOff>
    </xdr:to>
    <xdr:sp macro="" textlink="">
      <xdr:nvSpPr>
        <xdr:cNvPr id="119" name="CuadroTexto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9525" y="5124450"/>
          <a:ext cx="3800475" cy="236658"/>
        </a:xfrm>
        <a:prstGeom prst="rect">
          <a:avLst/>
        </a:prstGeom>
        <a:solidFill>
          <a:srgbClr val="FF000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endParaRPr lang="es-PY" sz="1400" b="1">
            <a:solidFill>
              <a:schemeClr val="bg1"/>
            </a:solidFill>
            <a:latin typeface="Poppins" panose="02000000000000000000" pitchFamily="2" charset="0"/>
            <a:ea typeface="+mn-ea"/>
            <a:cs typeface="Poppins" panose="02000000000000000000" pitchFamily="2" charset="0"/>
          </a:endParaRPr>
        </a:p>
      </xdr:txBody>
    </xdr:sp>
    <xdr:clientData/>
  </xdr:twoCellAnchor>
  <xdr:twoCellAnchor>
    <xdr:from>
      <xdr:col>4</xdr:col>
      <xdr:colOff>66675</xdr:colOff>
      <xdr:row>4</xdr:row>
      <xdr:rowOff>19050</xdr:rowOff>
    </xdr:from>
    <xdr:to>
      <xdr:col>8</xdr:col>
      <xdr:colOff>53355</xdr:colOff>
      <xdr:row>5</xdr:row>
      <xdr:rowOff>142872</xdr:rowOff>
    </xdr:to>
    <xdr:sp macro="" textlink="">
      <xdr:nvSpPr>
        <xdr:cNvPr id="111" name="CuadroTexto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3886200" y="1000125"/>
          <a:ext cx="3749055" cy="304797"/>
        </a:xfrm>
        <a:prstGeom prst="rect">
          <a:avLst/>
        </a:prstGeom>
        <a:solidFill>
          <a:srgbClr val="FF0000"/>
        </a:soli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0</xdr:col>
      <xdr:colOff>127000</xdr:colOff>
      <xdr:row>4</xdr:row>
      <xdr:rowOff>13758</xdr:rowOff>
    </xdr:from>
    <xdr:to>
      <xdr:col>1</xdr:col>
      <xdr:colOff>422405</xdr:colOff>
      <xdr:row>13</xdr:row>
      <xdr:rowOff>35738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127000" y="994833"/>
          <a:ext cx="1676530" cy="1669805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529167</xdr:colOff>
      <xdr:row>4</xdr:row>
      <xdr:rowOff>22227</xdr:rowOff>
    </xdr:from>
    <xdr:to>
      <xdr:col>3</xdr:col>
      <xdr:colOff>818532</xdr:colOff>
      <xdr:row>13</xdr:row>
      <xdr:rowOff>33510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1910292" y="1003302"/>
          <a:ext cx="1880040" cy="1659108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0</xdr:col>
      <xdr:colOff>131022</xdr:colOff>
      <xdr:row>11</xdr:row>
      <xdr:rowOff>39158</xdr:rowOff>
    </xdr:from>
    <xdr:to>
      <xdr:col>1</xdr:col>
      <xdr:colOff>413808</xdr:colOff>
      <xdr:row>13</xdr:row>
      <xdr:rowOff>29633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31022" y="2306108"/>
          <a:ext cx="1663911" cy="3524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0</xdr:col>
      <xdr:colOff>193463</xdr:colOff>
      <xdr:row>4</xdr:row>
      <xdr:rowOff>117050</xdr:rowOff>
    </xdr:from>
    <xdr:to>
      <xdr:col>1</xdr:col>
      <xdr:colOff>309880</xdr:colOff>
      <xdr:row>8</xdr:row>
      <xdr:rowOff>106679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93463" y="1092410"/>
          <a:ext cx="1533737" cy="705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Poppins" panose="02000000000000000000" pitchFamily="2" charset="0"/>
              <a:cs typeface="Poppins" panose="02000000000000000000" pitchFamily="2" charset="0"/>
            </a:rPr>
            <a:t>Déficit  Acumulado</a:t>
          </a:r>
        </a:p>
      </xdr:txBody>
    </xdr:sp>
    <xdr:clientData/>
  </xdr:twoCellAnchor>
  <xdr:twoCellAnchor>
    <xdr:from>
      <xdr:col>0</xdr:col>
      <xdr:colOff>398781</xdr:colOff>
      <xdr:row>7</xdr:row>
      <xdr:rowOff>167217</xdr:rowOff>
    </xdr:from>
    <xdr:to>
      <xdr:col>1</xdr:col>
      <xdr:colOff>225437</xdr:colOff>
      <xdr:row>9</xdr:row>
      <xdr:rowOff>119592</xdr:rowOff>
    </xdr:to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398781" y="1680634"/>
          <a:ext cx="1213073" cy="312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Poppins" panose="02000000000000000000" pitchFamily="2" charset="0"/>
              <a:cs typeface="Poppins" panose="02000000000000000000" pitchFamily="2" charset="0"/>
            </a:rPr>
            <a:t>USD </a:t>
          </a:r>
        </a:p>
      </xdr:txBody>
    </xdr:sp>
    <xdr:clientData/>
  </xdr:twoCellAnchor>
  <xdr:twoCellAnchor>
    <xdr:from>
      <xdr:col>0</xdr:col>
      <xdr:colOff>875031</xdr:colOff>
      <xdr:row>8</xdr:row>
      <xdr:rowOff>18838</xdr:rowOff>
    </xdr:from>
    <xdr:to>
      <xdr:col>1</xdr:col>
      <xdr:colOff>312420</xdr:colOff>
      <xdr:row>9</xdr:row>
      <xdr:rowOff>177843</xdr:rowOff>
    </xdr:to>
    <xdr:sp macro="" textlink="'TD inf'!$Q$4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75031" y="1725718"/>
          <a:ext cx="854709" cy="341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3DF87F5-CBCE-416B-9147-E8083887CA2C}" type="TxLink">
            <a:rPr lang="en-US" sz="1400" b="1" i="0" u="none" strike="noStrike">
              <a:solidFill>
                <a:schemeClr val="accent2">
                  <a:lumMod val="75000"/>
                </a:schemeClr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1.156,6</a:t>
          </a:fld>
          <a:endParaRPr lang="es-PY" sz="1800" b="1">
            <a:solidFill>
              <a:schemeClr val="accent2">
                <a:lumMod val="75000"/>
              </a:schemeClr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0</xdr:col>
      <xdr:colOff>568325</xdr:colOff>
      <xdr:row>9</xdr:row>
      <xdr:rowOff>59267</xdr:rowOff>
    </xdr:from>
    <xdr:to>
      <xdr:col>1</xdr:col>
      <xdr:colOff>718811</xdr:colOff>
      <xdr:row>10</xdr:row>
      <xdr:rowOff>115358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68325" y="1932517"/>
          <a:ext cx="1536903" cy="2360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Poppins" panose="02000000000000000000" pitchFamily="2" charset="0"/>
              <a:cs typeface="Poppins" panose="02000000000000000000" pitchFamily="2" charset="0"/>
            </a:rPr>
            <a:t>millones</a:t>
          </a:r>
        </a:p>
      </xdr:txBody>
    </xdr:sp>
    <xdr:clientData/>
  </xdr:twoCellAnchor>
  <xdr:twoCellAnchor>
    <xdr:from>
      <xdr:col>0</xdr:col>
      <xdr:colOff>245746</xdr:colOff>
      <xdr:row>11</xdr:row>
      <xdr:rowOff>24554</xdr:rowOff>
    </xdr:from>
    <xdr:to>
      <xdr:col>0</xdr:col>
      <xdr:colOff>922020</xdr:colOff>
      <xdr:row>13</xdr:row>
      <xdr:rowOff>2752</xdr:rowOff>
    </xdr:to>
    <xdr:sp macro="" textlink="'TD inf'!$Q$5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45746" y="2280074"/>
          <a:ext cx="676274" cy="3363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B250D83-79E1-4AD4-AE2E-5A6C56DB1B85}" type="TxLink">
            <a:rPr lang="en-US" sz="1400" b="1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3,4%</a:t>
          </a:fld>
          <a:endParaRPr lang="es-PY" sz="14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0</xdr:col>
      <xdr:colOff>779781</xdr:colOff>
      <xdr:row>11</xdr:row>
      <xdr:rowOff>17992</xdr:rowOff>
    </xdr:from>
    <xdr:to>
      <xdr:col>1</xdr:col>
      <xdr:colOff>254001</xdr:colOff>
      <xdr:row>12</xdr:row>
      <xdr:rowOff>154349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79781" y="2284942"/>
          <a:ext cx="855345" cy="317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del PIB</a:t>
          </a:r>
        </a:p>
      </xdr:txBody>
    </xdr:sp>
    <xdr:clientData/>
  </xdr:twoCellAnchor>
  <xdr:twoCellAnchor>
    <xdr:from>
      <xdr:col>1</xdr:col>
      <xdr:colOff>537633</xdr:colOff>
      <xdr:row>5</xdr:row>
      <xdr:rowOff>96309</xdr:rowOff>
    </xdr:from>
    <xdr:to>
      <xdr:col>3</xdr:col>
      <xdr:colOff>758612</xdr:colOff>
      <xdr:row>9</xdr:row>
      <xdr:rowOff>67734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924050" y="1249892"/>
          <a:ext cx="1808479" cy="691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Déficit </a:t>
          </a:r>
        </a:p>
        <a:p>
          <a:pPr algn="ctr"/>
          <a:r>
            <a:rPr lang="es-PY" sz="14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Anualizado </a:t>
          </a:r>
        </a:p>
      </xdr:txBody>
    </xdr:sp>
    <xdr:clientData/>
  </xdr:twoCellAnchor>
  <xdr:twoCellAnchor>
    <xdr:from>
      <xdr:col>2</xdr:col>
      <xdr:colOff>22436</xdr:colOff>
      <xdr:row>9</xdr:row>
      <xdr:rowOff>4233</xdr:rowOff>
    </xdr:from>
    <xdr:to>
      <xdr:col>4</xdr:col>
      <xdr:colOff>74068</xdr:colOff>
      <xdr:row>10</xdr:row>
      <xdr:rowOff>43303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181436" y="1877483"/>
          <a:ext cx="1713215" cy="2189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000" b="0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t>(últimos</a:t>
          </a:r>
          <a:r>
            <a:rPr lang="es-PY" sz="1000" b="0" baseline="0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t> 12 meses)</a:t>
          </a:r>
          <a:endParaRPr lang="es-PY" sz="1000" b="0">
            <a:solidFill>
              <a:sysClr val="windowText" lastClr="000000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4</xdr:col>
      <xdr:colOff>925830</xdr:colOff>
      <xdr:row>3</xdr:row>
      <xdr:rowOff>160867</xdr:rowOff>
    </xdr:from>
    <xdr:to>
      <xdr:col>6</xdr:col>
      <xdr:colOff>325755</xdr:colOff>
      <xdr:row>5</xdr:row>
      <xdr:rowOff>103717</xdr:rowOff>
    </xdr:to>
    <xdr:sp macro="" textlink="">
      <xdr:nvSpPr>
        <xdr:cNvPr id="28" name="CuadroText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50130" y="960967"/>
          <a:ext cx="1678305" cy="293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Reducción del</a:t>
          </a:r>
        </a:p>
      </xdr:txBody>
    </xdr:sp>
    <xdr:clientData/>
  </xdr:twoCellAnchor>
  <xdr:twoCellAnchor>
    <xdr:from>
      <xdr:col>6</xdr:col>
      <xdr:colOff>118111</xdr:colOff>
      <xdr:row>3</xdr:row>
      <xdr:rowOff>161925</xdr:rowOff>
    </xdr:from>
    <xdr:to>
      <xdr:col>7</xdr:col>
      <xdr:colOff>83820</xdr:colOff>
      <xdr:row>5</xdr:row>
      <xdr:rowOff>110490</xdr:rowOff>
    </xdr:to>
    <xdr:sp macro="" textlink="'TD inf'!$S$7">
      <xdr:nvSpPr>
        <xdr:cNvPr id="29" name="CuadroText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320791" y="962025"/>
          <a:ext cx="758189" cy="29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7E4C0CF-E171-4218-86E9-EE86F003FD54}" type="TxLink">
            <a:rPr lang="en-US" sz="1400" b="1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9,1%</a:t>
          </a:fld>
          <a:endParaRPr lang="es-PY" sz="18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4</xdr:col>
      <xdr:colOff>38100</xdr:colOff>
      <xdr:row>12</xdr:row>
      <xdr:rowOff>28575</xdr:rowOff>
    </xdr:from>
    <xdr:to>
      <xdr:col>7</xdr:col>
      <xdr:colOff>826763</xdr:colOff>
      <xdr:row>12</xdr:row>
      <xdr:rowOff>28575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CxnSpPr/>
      </xdr:nvCxnSpPr>
      <xdr:spPr>
        <a:xfrm>
          <a:off x="4000500" y="2345055"/>
          <a:ext cx="39890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22861</xdr:colOff>
      <xdr:row>26</xdr:row>
      <xdr:rowOff>99060</xdr:rowOff>
    </xdr:from>
    <xdr:to>
      <xdr:col>9</xdr:col>
      <xdr:colOff>38100</xdr:colOff>
      <xdr:row>49</xdr:row>
      <xdr:rowOff>56030</xdr:rowOff>
    </xdr:to>
    <xdr:grpSp>
      <xdr:nvGrpSpPr>
        <xdr:cNvPr id="43" name="Grupo 45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pSpPr>
          <a:grpSpLocks/>
        </xdr:cNvGrpSpPr>
      </xdr:nvGrpSpPr>
      <xdr:grpSpPr bwMode="auto">
        <a:xfrm>
          <a:off x="22861" y="5074472"/>
          <a:ext cx="7780915" cy="4304852"/>
          <a:chOff x="19050" y="838199"/>
          <a:chExt cx="7762875" cy="2759875"/>
        </a:xfrm>
      </xdr:grpSpPr>
      <xdr:sp macro="" textlink="">
        <xdr:nvSpPr>
          <xdr:cNvPr id="44" name="Proceso 46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>
            <a:off x="19050" y="838199"/>
            <a:ext cx="7762875" cy="2754453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45" name="Conector recto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781050</xdr:colOff>
      <xdr:row>26</xdr:row>
      <xdr:rowOff>68580</xdr:rowOff>
    </xdr:from>
    <xdr:to>
      <xdr:col>3</xdr:col>
      <xdr:colOff>457200</xdr:colOff>
      <xdr:row>28</xdr:row>
      <xdr:rowOff>11430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781050" y="4945380"/>
          <a:ext cx="2731770" cy="293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Incremento del</a:t>
          </a:r>
        </a:p>
      </xdr:txBody>
    </xdr:sp>
    <xdr:clientData/>
  </xdr:twoCellAnchor>
  <xdr:twoCellAnchor>
    <xdr:from>
      <xdr:col>2</xdr:col>
      <xdr:colOff>133351</xdr:colOff>
      <xdr:row>26</xdr:row>
      <xdr:rowOff>60960</xdr:rowOff>
    </xdr:from>
    <xdr:to>
      <xdr:col>2</xdr:col>
      <xdr:colOff>819151</xdr:colOff>
      <xdr:row>27</xdr:row>
      <xdr:rowOff>171593</xdr:rowOff>
    </xdr:to>
    <xdr:sp macro="" textlink="'TD inf'!$S$14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2343151" y="4937760"/>
          <a:ext cx="685800" cy="285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B601F7F-5A89-4391-9AB3-C2A942EA974E}" type="TxLink">
            <a:rPr lang="en-US" sz="1400" b="1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11,3%</a:t>
          </a:fld>
          <a:endParaRPr lang="es-PY" sz="18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0</xdr:col>
      <xdr:colOff>38100</xdr:colOff>
      <xdr:row>29</xdr:row>
      <xdr:rowOff>163830</xdr:rowOff>
    </xdr:from>
    <xdr:to>
      <xdr:col>3</xdr:col>
      <xdr:colOff>811537</xdr:colOff>
      <xdr:row>29</xdr:row>
      <xdr:rowOff>163830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CxnSpPr/>
      </xdr:nvCxnSpPr>
      <xdr:spPr>
        <a:xfrm>
          <a:off x="38100" y="5284470"/>
          <a:ext cx="389001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37</xdr:row>
      <xdr:rowOff>9525</xdr:rowOff>
    </xdr:from>
    <xdr:to>
      <xdr:col>3</xdr:col>
      <xdr:colOff>814916</xdr:colOff>
      <xdr:row>37</xdr:row>
      <xdr:rowOff>21166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CxnSpPr/>
      </xdr:nvCxnSpPr>
      <xdr:spPr>
        <a:xfrm>
          <a:off x="9525" y="6793442"/>
          <a:ext cx="3779308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371475</xdr:colOff>
      <xdr:row>26</xdr:row>
      <xdr:rowOff>163830</xdr:rowOff>
    </xdr:from>
    <xdr:to>
      <xdr:col>7</xdr:col>
      <xdr:colOff>123824</xdr:colOff>
      <xdr:row>28</xdr:row>
      <xdr:rowOff>114400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4191000" y="5145405"/>
          <a:ext cx="2743199" cy="312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0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t>Crecimiento Acumulado del</a:t>
          </a:r>
        </a:p>
      </xdr:txBody>
    </xdr:sp>
    <xdr:clientData/>
  </xdr:twoCellAnchor>
  <xdr:twoCellAnchor>
    <xdr:from>
      <xdr:col>6</xdr:col>
      <xdr:colOff>704290</xdr:colOff>
      <xdr:row>26</xdr:row>
      <xdr:rowOff>172234</xdr:rowOff>
    </xdr:from>
    <xdr:to>
      <xdr:col>7</xdr:col>
      <xdr:colOff>700481</xdr:colOff>
      <xdr:row>28</xdr:row>
      <xdr:rowOff>122804</xdr:rowOff>
    </xdr:to>
    <xdr:sp macro="" textlink="'TD inf'!$S$22">
      <xdr:nvSpPr>
        <xdr:cNvPr id="57" name="CuadroTex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898902" y="5120752"/>
          <a:ext cx="785085" cy="309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0A8DF35-0B52-47C2-A83E-35F1168748AB}" type="TxLink">
            <a:rPr lang="en-US" sz="1400" b="0" i="0" u="none" strike="noStrike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31,0%</a:t>
          </a:fld>
          <a:endParaRPr lang="es-PY" sz="1800" b="0">
            <a:solidFill>
              <a:sysClr val="windowText" lastClr="000000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4</xdr:col>
      <xdr:colOff>1162050</xdr:colOff>
      <xdr:row>28</xdr:row>
      <xdr:rowOff>30480</xdr:rowOff>
    </xdr:from>
    <xdr:to>
      <xdr:col>5</xdr:col>
      <xdr:colOff>400050</xdr:colOff>
      <xdr:row>29</xdr:row>
      <xdr:rowOff>171352</xdr:rowOff>
    </xdr:to>
    <xdr:sp macro="" textlink="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4981575" y="5374005"/>
          <a:ext cx="685800" cy="321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t>USD</a:t>
          </a:r>
        </a:p>
      </xdr:txBody>
    </xdr:sp>
    <xdr:clientData/>
  </xdr:twoCellAnchor>
  <xdr:twoCellAnchor>
    <xdr:from>
      <xdr:col>5</xdr:col>
      <xdr:colOff>180975</xdr:colOff>
      <xdr:row>28</xdr:row>
      <xdr:rowOff>30480</xdr:rowOff>
    </xdr:from>
    <xdr:to>
      <xdr:col>6</xdr:col>
      <xdr:colOff>369570</xdr:colOff>
      <xdr:row>29</xdr:row>
      <xdr:rowOff>171352</xdr:rowOff>
    </xdr:to>
    <xdr:sp macro="" textlink="'TD inf'!$Q$22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5448300" y="5374005"/>
          <a:ext cx="960120" cy="3218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CC8262-A941-4637-A34C-FA6543B3898E}" type="TxLink">
            <a:rPr lang="en-US" sz="1400" b="1" i="0" u="none" strike="noStrike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660</a:t>
          </a:fld>
          <a:endParaRPr lang="es-PY" sz="1800" b="1">
            <a:solidFill>
              <a:sysClr val="windowText" lastClr="000000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599228</xdr:colOff>
      <xdr:row>28</xdr:row>
      <xdr:rowOff>26246</xdr:rowOff>
    </xdr:from>
    <xdr:to>
      <xdr:col>7</xdr:col>
      <xdr:colOff>292539</xdr:colOff>
      <xdr:row>29</xdr:row>
      <xdr:rowOff>167316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5866553" y="5369771"/>
          <a:ext cx="1236361" cy="3220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Poppins" panose="02000000000000000000" pitchFamily="2" charset="0"/>
              <a:cs typeface="Poppins" panose="02000000000000000000" pitchFamily="2" charset="0"/>
            </a:rPr>
            <a:t>millones </a:t>
          </a:r>
        </a:p>
      </xdr:txBody>
    </xdr:sp>
    <xdr:clientData/>
  </xdr:twoCellAnchor>
  <xdr:twoCellAnchor>
    <xdr:from>
      <xdr:col>5</xdr:col>
      <xdr:colOff>828675</xdr:colOff>
      <xdr:row>37</xdr:row>
      <xdr:rowOff>257175</xdr:rowOff>
    </xdr:from>
    <xdr:to>
      <xdr:col>5</xdr:col>
      <xdr:colOff>1192569</xdr:colOff>
      <xdr:row>39</xdr:row>
      <xdr:rowOff>135255</xdr:rowOff>
    </xdr:to>
    <xdr:sp macro="" textlink="">
      <xdr:nvSpPr>
        <xdr:cNvPr id="67" name="Más 74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4791075" y="6962775"/>
          <a:ext cx="363894" cy="35814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4</xdr:col>
      <xdr:colOff>600076</xdr:colOff>
      <xdr:row>36</xdr:row>
      <xdr:rowOff>5715</xdr:rowOff>
    </xdr:from>
    <xdr:to>
      <xdr:col>4</xdr:col>
      <xdr:colOff>1272514</xdr:colOff>
      <xdr:row>37</xdr:row>
      <xdr:rowOff>129540</xdr:rowOff>
    </xdr:to>
    <xdr:sp macro="" textlink="'TD inf'!$Q$25">
      <xdr:nvSpPr>
        <xdr:cNvPr id="69" name="CuadroTex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4419601" y="6958965"/>
          <a:ext cx="672438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235BDD0-FA4E-4A3F-9D25-5B6964A07AA4}" type="TxLink">
            <a:rPr lang="en-US" sz="1200" b="1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553</a:t>
          </a:fld>
          <a:endParaRPr lang="es-PY" sz="14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4</xdr:col>
      <xdr:colOff>923925</xdr:colOff>
      <xdr:row>36</xdr:row>
      <xdr:rowOff>0</xdr:rowOff>
    </xdr:from>
    <xdr:to>
      <xdr:col>5</xdr:col>
      <xdr:colOff>443882</xdr:colOff>
      <xdr:row>37</xdr:row>
      <xdr:rowOff>123825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4743450" y="6953250"/>
          <a:ext cx="967757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millones</a:t>
          </a:r>
        </a:p>
      </xdr:txBody>
    </xdr:sp>
    <xdr:clientData/>
  </xdr:twoCellAnchor>
  <xdr:twoCellAnchor>
    <xdr:from>
      <xdr:col>4</xdr:col>
      <xdr:colOff>354330</xdr:colOff>
      <xdr:row>40</xdr:row>
      <xdr:rowOff>161925</xdr:rowOff>
    </xdr:from>
    <xdr:to>
      <xdr:col>5</xdr:col>
      <xdr:colOff>352426</xdr:colOff>
      <xdr:row>42</xdr:row>
      <xdr:rowOff>104775</xdr:rowOff>
    </xdr:to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4173855" y="7896225"/>
          <a:ext cx="144589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0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Otras entidades</a:t>
          </a:r>
        </a:p>
      </xdr:txBody>
    </xdr:sp>
    <xdr:clientData/>
  </xdr:twoCellAnchor>
  <xdr:twoCellAnchor>
    <xdr:from>
      <xdr:col>4</xdr:col>
      <xdr:colOff>666750</xdr:colOff>
      <xdr:row>42</xdr:row>
      <xdr:rowOff>85725</xdr:rowOff>
    </xdr:from>
    <xdr:to>
      <xdr:col>4</xdr:col>
      <xdr:colOff>1150620</xdr:colOff>
      <xdr:row>44</xdr:row>
      <xdr:rowOff>20906</xdr:rowOff>
    </xdr:to>
    <xdr:sp macro="" textlink="'TD inf'!Q26">
      <xdr:nvSpPr>
        <xdr:cNvPr id="72" name="CuadroTex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4591050" y="8086725"/>
          <a:ext cx="483870" cy="285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BD5E0FD-585D-40B7-B180-3562ED741F5F}" type="TxLink">
            <a:rPr lang="en-US" sz="1200" b="1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107</a:t>
          </a:fld>
          <a:endParaRPr lang="es-PY" sz="14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880110</xdr:colOff>
      <xdr:row>41</xdr:row>
      <xdr:rowOff>34289</xdr:rowOff>
    </xdr:from>
    <xdr:to>
      <xdr:col>5</xdr:col>
      <xdr:colOff>1457402</xdr:colOff>
      <xdr:row>42</xdr:row>
      <xdr:rowOff>148590</xdr:rowOff>
    </xdr:to>
    <xdr:sp macro="" textlink="'TD inf'!$Q$26">
      <xdr:nvSpPr>
        <xdr:cNvPr id="73" name="CuadroTexto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4781550" y="7570469"/>
          <a:ext cx="5772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107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 editAs="oneCell">
    <xdr:from>
      <xdr:col>10</xdr:col>
      <xdr:colOff>2540</xdr:colOff>
      <xdr:row>0</xdr:row>
      <xdr:rowOff>175260</xdr:rowOff>
    </xdr:from>
    <xdr:to>
      <xdr:col>16</xdr:col>
      <xdr:colOff>627379</xdr:colOff>
      <xdr:row>4</xdr:row>
      <xdr:rowOff>131656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2" name="Mes 1">
              <a:extLst>
                <a:ext uri="{FF2B5EF4-FFF2-40B4-BE49-F238E27FC236}">
                  <a16:creationId xmlns:a16="http://schemas.microsoft.com/office/drawing/2014/main" id="{00000000-0008-0000-0000-00005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5540" y="175260"/>
              <a:ext cx="5379719" cy="9317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4</xdr:col>
      <xdr:colOff>1266825</xdr:colOff>
      <xdr:row>29</xdr:row>
      <xdr:rowOff>75141</xdr:rowOff>
    </xdr:from>
    <xdr:to>
      <xdr:col>6</xdr:col>
      <xdr:colOff>695325</xdr:colOff>
      <xdr:row>30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086350" y="5599641"/>
          <a:ext cx="1647825" cy="21060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Y" sz="1000">
              <a:solidFill>
                <a:sysClr val="windowText" lastClr="000000"/>
              </a:solidFill>
              <a:latin typeface="Poppins SemiBold" panose="00000700000000000000" pitchFamily="2" charset="0"/>
              <a:cs typeface="Poppins SemiBold" panose="00000700000000000000" pitchFamily="2" charset="0"/>
            </a:rPr>
            <a:t>Inversión Acumulada</a:t>
          </a:r>
        </a:p>
      </xdr:txBody>
    </xdr:sp>
    <xdr:clientData/>
  </xdr:twoCellAnchor>
  <xdr:twoCellAnchor>
    <xdr:from>
      <xdr:col>0</xdr:col>
      <xdr:colOff>0</xdr:colOff>
      <xdr:row>2</xdr:row>
      <xdr:rowOff>84667</xdr:rowOff>
    </xdr:from>
    <xdr:to>
      <xdr:col>3</xdr:col>
      <xdr:colOff>845608</xdr:colOff>
      <xdr:row>3</xdr:row>
      <xdr:rowOff>70331</xdr:rowOff>
    </xdr:to>
    <xdr:sp macro="" textlink="">
      <xdr:nvSpPr>
        <xdr:cNvPr id="93" name="CuadroTexto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0" y="613834"/>
          <a:ext cx="3819525" cy="250247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Resultado Fiscal </a:t>
          </a:r>
        </a:p>
      </xdr:txBody>
    </xdr:sp>
    <xdr:clientData/>
  </xdr:twoCellAnchor>
  <xdr:twoCellAnchor>
    <xdr:from>
      <xdr:col>1</xdr:col>
      <xdr:colOff>530435</xdr:colOff>
      <xdr:row>11</xdr:row>
      <xdr:rowOff>99484</xdr:rowOff>
    </xdr:from>
    <xdr:to>
      <xdr:col>3</xdr:col>
      <xdr:colOff>819360</xdr:colOff>
      <xdr:row>13</xdr:row>
      <xdr:rowOff>37856</xdr:rowOff>
    </xdr:to>
    <xdr:sp macro="" textlink="">
      <xdr:nvSpPr>
        <xdr:cNvPr id="102" name="CuadroTexto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1916852" y="2332567"/>
          <a:ext cx="1876425" cy="298206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2</xdr:col>
      <xdr:colOff>590550</xdr:colOff>
      <xdr:row>11</xdr:row>
      <xdr:rowOff>23284</xdr:rowOff>
    </xdr:from>
    <xdr:to>
      <xdr:col>3</xdr:col>
      <xdr:colOff>804332</xdr:colOff>
      <xdr:row>12</xdr:row>
      <xdr:rowOff>174625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749550" y="2256367"/>
          <a:ext cx="1028699" cy="331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Poppins" panose="02000000000000000000" pitchFamily="2" charset="0"/>
              <a:cs typeface="Poppins" panose="02000000000000000000" pitchFamily="2" charset="0"/>
            </a:rPr>
            <a:t>del PIB</a:t>
          </a:r>
        </a:p>
      </xdr:txBody>
    </xdr:sp>
    <xdr:clientData/>
  </xdr:twoCellAnchor>
  <xdr:twoCellAnchor>
    <xdr:from>
      <xdr:col>2</xdr:col>
      <xdr:colOff>17145</xdr:colOff>
      <xdr:row>11</xdr:row>
      <xdr:rowOff>32810</xdr:rowOff>
    </xdr:from>
    <xdr:to>
      <xdr:col>2</xdr:col>
      <xdr:colOff>688801</xdr:colOff>
      <xdr:row>12</xdr:row>
      <xdr:rowOff>155576</xdr:rowOff>
    </xdr:to>
    <xdr:sp macro="" textlink="'TD inf'!$Q$6">
      <xdr:nvSpPr>
        <xdr:cNvPr id="20" name="CuadroTex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2176145" y="2265893"/>
          <a:ext cx="671656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92D6D98-A206-4872-8A8B-310AC3EE5564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5,1%</a:t>
          </a:fld>
          <a:endParaRPr lang="es-PY" sz="2000" b="1">
            <a:solidFill>
              <a:schemeClr val="accent2">
                <a:lumMod val="75000"/>
              </a:schemeClr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0</xdr:col>
      <xdr:colOff>106891</xdr:colOff>
      <xdr:row>13</xdr:row>
      <xdr:rowOff>80433</xdr:rowOff>
    </xdr:from>
    <xdr:to>
      <xdr:col>3</xdr:col>
      <xdr:colOff>815486</xdr:colOff>
      <xdr:row>14</xdr:row>
      <xdr:rowOff>96146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106891" y="2709333"/>
          <a:ext cx="368039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Poppins" panose="02000000000000000000" pitchFamily="2" charset="0"/>
              <a:ea typeface="+mn-ea"/>
              <a:cs typeface="Poppins" panose="02000000000000000000" pitchFamily="2" charset="0"/>
            </a:rPr>
            <a:t>Causas</a:t>
          </a:r>
        </a:p>
      </xdr:txBody>
    </xdr:sp>
    <xdr:clientData/>
  </xdr:twoCellAnchor>
  <xdr:twoCellAnchor>
    <xdr:from>
      <xdr:col>0</xdr:col>
      <xdr:colOff>74083</xdr:colOff>
      <xdr:row>15</xdr:row>
      <xdr:rowOff>42334</xdr:rowOff>
    </xdr:from>
    <xdr:to>
      <xdr:col>4</xdr:col>
      <xdr:colOff>25400</xdr:colOff>
      <xdr:row>21</xdr:row>
      <xdr:rowOff>162985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74083" y="2995084"/>
          <a:ext cx="3771900" cy="12001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/>
            <a:t>Incremento del Gasto Corriente principalmente</a:t>
          </a:r>
          <a:r>
            <a:rPr lang="es-PY" sz="1100" baseline="0"/>
            <a:t> por Programas sociales (Tekopora, Pytyvo, Ñangareko, Adultos Mayores)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/>
            <a:t>Sostenimiento de la ejecución de Inversiones Públicas.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/>
            <a:t>Menor recaudación proveniente de los Ingresos Tributarios.</a:t>
          </a:r>
          <a:endParaRPr lang="es-PY" sz="1100"/>
        </a:p>
      </xdr:txBody>
    </xdr:sp>
    <xdr:clientData/>
  </xdr:twoCellAnchor>
  <xdr:twoCellAnchor>
    <xdr:from>
      <xdr:col>0</xdr:col>
      <xdr:colOff>38100</xdr:colOff>
      <xdr:row>3</xdr:row>
      <xdr:rowOff>161925</xdr:rowOff>
    </xdr:from>
    <xdr:to>
      <xdr:col>9</xdr:col>
      <xdr:colOff>15240</xdr:colOff>
      <xdr:row>24</xdr:row>
      <xdr:rowOff>76200</xdr:rowOff>
    </xdr:to>
    <xdr:sp macro="" textlink="">
      <xdr:nvSpPr>
        <xdr:cNvPr id="108" name="Proceso 5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/>
      </xdr:nvSpPr>
      <xdr:spPr bwMode="auto">
        <a:xfrm>
          <a:off x="38100" y="962025"/>
          <a:ext cx="7947660" cy="3640455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4</xdr:col>
      <xdr:colOff>28574</xdr:colOff>
      <xdr:row>2</xdr:row>
      <xdr:rowOff>85725</xdr:rowOff>
    </xdr:from>
    <xdr:to>
      <xdr:col>9</xdr:col>
      <xdr:colOff>22859</xdr:colOff>
      <xdr:row>3</xdr:row>
      <xdr:rowOff>69272</xdr:rowOff>
    </xdr:to>
    <xdr:sp macro="" textlink="">
      <xdr:nvSpPr>
        <xdr:cNvPr id="109" name="CuadroTexto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Ingresos</a:t>
          </a:r>
        </a:p>
      </xdr:txBody>
    </xdr:sp>
    <xdr:clientData/>
  </xdr:twoCellAnchor>
  <xdr:twoCellAnchor>
    <xdr:from>
      <xdr:col>0</xdr:col>
      <xdr:colOff>19050</xdr:colOff>
      <xdr:row>0</xdr:row>
      <xdr:rowOff>38100</xdr:rowOff>
    </xdr:from>
    <xdr:to>
      <xdr:col>9</xdr:col>
      <xdr:colOff>22860</xdr:colOff>
      <xdr:row>2</xdr:row>
      <xdr:rowOff>28575</xdr:rowOff>
    </xdr:to>
    <xdr:sp macro="" textlink="">
      <xdr:nvSpPr>
        <xdr:cNvPr id="110" name="22 Rectángulo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>
        <a:xfrm>
          <a:off x="19050" y="38100"/>
          <a:ext cx="7974330" cy="523875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rot="0" spcFirstLastPara="0" vert="horz" wrap="square" lIns="71113" tIns="35556" rIns="71113" bIns="35556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PY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00000"/>
            </a:lnSpc>
            <a:spcAft>
              <a:spcPts val="0"/>
            </a:spcAft>
          </a:pPr>
          <a:r>
            <a:rPr lang="es-PY" sz="1400" b="1"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INFORME DE</a:t>
          </a:r>
          <a:r>
            <a:rPr lang="es-PY" sz="1400" b="1" baseline="0"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 LA SITUACIÓN FINANCIERA - ADMINISTRACIÓN CENTRAL </a:t>
          </a:r>
        </a:p>
        <a:p>
          <a:pPr algn="ctr">
            <a:lnSpc>
              <a:spcPct val="100000"/>
            </a:lnSpc>
            <a:spcAft>
              <a:spcPts val="0"/>
            </a:spcAft>
          </a:pPr>
          <a:r>
            <a:rPr lang="es-PY" sz="1000"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Agosto 2020</a:t>
          </a:r>
        </a:p>
      </xdr:txBody>
    </xdr:sp>
    <xdr:clientData/>
  </xdr:twoCellAnchor>
  <xdr:twoCellAnchor>
    <xdr:from>
      <xdr:col>4</xdr:col>
      <xdr:colOff>47625</xdr:colOff>
      <xdr:row>14</xdr:row>
      <xdr:rowOff>104775</xdr:rowOff>
    </xdr:from>
    <xdr:to>
      <xdr:col>8</xdr:col>
      <xdr:colOff>104774</xdr:colOff>
      <xdr:row>19</xdr:row>
      <xdr:rowOff>83838</xdr:rowOff>
    </xdr:to>
    <xdr:sp macro="" textlink="">
      <xdr:nvSpPr>
        <xdr:cNvPr id="113" name="CuadroTexto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3867150" y="2914650"/>
          <a:ext cx="3819524" cy="88393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Menores Ingresos Tributarios Acumulados (-11,7%),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debido a la menor recaudación de la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SET (-11,8%)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y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DNA (-10,8%)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Otros ingresos reducidos (-10,7%), explicados por menores ingresos de Itaipú y Yacyretá</a:t>
          </a:r>
        </a:p>
      </xdr:txBody>
    </xdr:sp>
    <xdr:clientData/>
  </xdr:twoCellAnchor>
  <xdr:twoCellAnchor>
    <xdr:from>
      <xdr:col>4</xdr:col>
      <xdr:colOff>116416</xdr:colOff>
      <xdr:row>13</xdr:row>
      <xdr:rowOff>73025</xdr:rowOff>
    </xdr:from>
    <xdr:to>
      <xdr:col>8</xdr:col>
      <xdr:colOff>34436</xdr:colOff>
      <xdr:row>14</xdr:row>
      <xdr:rowOff>88738</xdr:rowOff>
    </xdr:to>
    <xdr:sp macro="" textlink="">
      <xdr:nvSpPr>
        <xdr:cNvPr id="114" name="CuadroTexto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3935941" y="2701925"/>
          <a:ext cx="3680395" cy="196688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Poppins" panose="02000000000000000000" pitchFamily="2" charset="0"/>
              <a:ea typeface="+mn-ea"/>
              <a:cs typeface="Poppins" panose="02000000000000000000" pitchFamily="2" charset="0"/>
            </a:rPr>
            <a:t>Causas</a:t>
          </a:r>
        </a:p>
      </xdr:txBody>
    </xdr:sp>
    <xdr:clientData/>
  </xdr:twoCellAnchor>
  <xdr:twoCellAnchor>
    <xdr:from>
      <xdr:col>4</xdr:col>
      <xdr:colOff>161925</xdr:colOff>
      <xdr:row>19</xdr:row>
      <xdr:rowOff>28575</xdr:rowOff>
    </xdr:from>
    <xdr:to>
      <xdr:col>8</xdr:col>
      <xdr:colOff>152400</xdr:colOff>
      <xdr:row>23</xdr:row>
      <xdr:rowOff>76200</xdr:rowOff>
    </xdr:to>
    <xdr:sp macro="" textlink="">
      <xdr:nvSpPr>
        <xdr:cNvPr id="115" name="CuadroTexto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3981450" y="3762375"/>
          <a:ext cx="3752850" cy="77152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PY" sz="1050" b="1">
              <a:solidFill>
                <a:schemeClr val="accent2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Aspecto Relevante</a:t>
          </a:r>
          <a:endParaRPr lang="es-PY" sz="600" b="1">
            <a:solidFill>
              <a:schemeClr val="accent2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r>
            <a:rPr lang="es-PY" sz="105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recaudación tributaria </a:t>
          </a:r>
          <a:r>
            <a:rPr lang="es-PY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agosto/2020 fue </a:t>
          </a:r>
          <a:r>
            <a:rPr lang="es-PY" sz="105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5,9% </a:t>
          </a:r>
          <a:r>
            <a:rPr lang="es-PY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superior de lo recaudado en agosto/2019. La recaudación de la SET, presenta un superávit interanual del </a:t>
          </a:r>
          <a:r>
            <a:rPr lang="es-PY" sz="105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18,8%</a:t>
          </a:r>
          <a:r>
            <a:rPr lang="es-PY" sz="105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.</a:t>
          </a:r>
          <a:endParaRPr lang="es-PY" sz="1050" b="0">
            <a:solidFill>
              <a:srgbClr val="C00000"/>
            </a:solidFill>
            <a:effectLst/>
          </a:endParaRPr>
        </a:p>
      </xdr:txBody>
    </xdr:sp>
    <xdr:clientData/>
  </xdr:twoCellAnchor>
  <xdr:twoCellAnchor>
    <xdr:from>
      <xdr:col>0</xdr:col>
      <xdr:colOff>47625</xdr:colOff>
      <xdr:row>24</xdr:row>
      <xdr:rowOff>114300</xdr:rowOff>
    </xdr:from>
    <xdr:to>
      <xdr:col>4</xdr:col>
      <xdr:colOff>47625</xdr:colOff>
      <xdr:row>26</xdr:row>
      <xdr:rowOff>2597</xdr:rowOff>
    </xdr:to>
    <xdr:sp macro="" textlink="">
      <xdr:nvSpPr>
        <xdr:cNvPr id="116" name="CuadroTexto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47625" y="4733925"/>
          <a:ext cx="3819525" cy="25024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Gastos </a:t>
          </a:r>
        </a:p>
      </xdr:txBody>
    </xdr:sp>
    <xdr:clientData/>
  </xdr:twoCellAnchor>
  <xdr:twoCellAnchor>
    <xdr:from>
      <xdr:col>4</xdr:col>
      <xdr:colOff>66674</xdr:colOff>
      <xdr:row>24</xdr:row>
      <xdr:rowOff>121920</xdr:rowOff>
    </xdr:from>
    <xdr:to>
      <xdr:col>9</xdr:col>
      <xdr:colOff>38099</xdr:colOff>
      <xdr:row>26</xdr:row>
      <xdr:rowOff>2597</xdr:rowOff>
    </xdr:to>
    <xdr:sp macro="" textlink="">
      <xdr:nvSpPr>
        <xdr:cNvPr id="118" name="CuadroTexto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3990974" y="4648200"/>
          <a:ext cx="4017645" cy="231197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Poppins" panose="02000000000000000000" pitchFamily="2" charset="0"/>
              <a:ea typeface="Calibri"/>
              <a:cs typeface="Poppins" panose="02000000000000000000" pitchFamily="2" charset="0"/>
            </a:rPr>
            <a:t>Inversión </a:t>
          </a:r>
        </a:p>
      </xdr:txBody>
    </xdr:sp>
    <xdr:clientData/>
  </xdr:twoCellAnchor>
  <xdr:twoCellAnchor>
    <xdr:from>
      <xdr:col>0</xdr:col>
      <xdr:colOff>38100</xdr:colOff>
      <xdr:row>37</xdr:row>
      <xdr:rowOff>209550</xdr:rowOff>
    </xdr:from>
    <xdr:to>
      <xdr:col>4</xdr:col>
      <xdr:colOff>0</xdr:colOff>
      <xdr:row>39</xdr:row>
      <xdr:rowOff>0</xdr:rowOff>
    </xdr:to>
    <xdr:sp macro="" textlink="">
      <xdr:nvSpPr>
        <xdr:cNvPr id="120" name="CuadroTexto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38100" y="7343775"/>
          <a:ext cx="3781425" cy="209550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Poppins" panose="02000000000000000000" pitchFamily="2" charset="0"/>
              <a:ea typeface="+mn-ea"/>
              <a:cs typeface="Poppins" panose="02000000000000000000" pitchFamily="2" charset="0"/>
            </a:rPr>
            <a:t>Causas</a:t>
          </a:r>
        </a:p>
      </xdr:txBody>
    </xdr:sp>
    <xdr:clientData/>
  </xdr:twoCellAnchor>
  <xdr:twoCellAnchor>
    <xdr:from>
      <xdr:col>0</xdr:col>
      <xdr:colOff>0</xdr:colOff>
      <xdr:row>39</xdr:row>
      <xdr:rowOff>9525</xdr:rowOff>
    </xdr:from>
    <xdr:to>
      <xdr:col>4</xdr:col>
      <xdr:colOff>112396</xdr:colOff>
      <xdr:row>48</xdr:row>
      <xdr:rowOff>38100</xdr:rowOff>
    </xdr:to>
    <xdr:sp macro="" textlink="">
      <xdr:nvSpPr>
        <xdr:cNvPr id="121" name="CuadroTexto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0" y="7581900"/>
          <a:ext cx="3931921" cy="1657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Incremento de pagos a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(7,0%)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</a:t>
          </a: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destinados mayormente a Docentes (efecto año completo), Policías, Militares, Personal de Blanco (Gratificaciones al personal de Salud afectado directamente a la atención de la pandemia).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Aumento de las Prestaciones sociales como Tekopora, Ñangareko, Pytyvo y Adultos Mayores </a:t>
          </a:r>
          <a:r>
            <a:rPr lang="es-PY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(53,2%)</a:t>
          </a: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. 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Incremento de </a:t>
          </a:r>
          <a:r>
            <a:rPr lang="es-PY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pago de intereses de la deuda tanto interna como externa </a:t>
          </a:r>
          <a:r>
            <a:rPr lang="es-PY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(13,2%).</a:t>
          </a:r>
          <a:endParaRPr lang="es-PY" sz="1200" b="1">
            <a:effectLst/>
          </a:endParaRPr>
        </a:p>
      </xdr:txBody>
    </xdr:sp>
    <xdr:clientData/>
  </xdr:twoCellAnchor>
  <xdr:twoCellAnchor>
    <xdr:from>
      <xdr:col>6</xdr:col>
      <xdr:colOff>685800</xdr:colOff>
      <xdr:row>29</xdr:row>
      <xdr:rowOff>152400</xdr:rowOff>
    </xdr:from>
    <xdr:to>
      <xdr:col>8</xdr:col>
      <xdr:colOff>122767</xdr:colOff>
      <xdr:row>34</xdr:row>
      <xdr:rowOff>19050</xdr:rowOff>
    </xdr:to>
    <xdr:sp macro="" textlink="">
      <xdr:nvSpPr>
        <xdr:cNvPr id="123" name="Elips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/>
      </xdr:nvSpPr>
      <xdr:spPr>
        <a:xfrm>
          <a:off x="6724650" y="5676900"/>
          <a:ext cx="980017" cy="933450"/>
        </a:xfrm>
        <a:prstGeom prst="ellipse">
          <a:avLst/>
        </a:prstGeom>
        <a:solidFill>
          <a:schemeClr val="accent5"/>
        </a:soli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161925</xdr:colOff>
      <xdr:row>30</xdr:row>
      <xdr:rowOff>120015</xdr:rowOff>
    </xdr:from>
    <xdr:to>
      <xdr:col>9</xdr:col>
      <xdr:colOff>348615</xdr:colOff>
      <xdr:row>31</xdr:row>
      <xdr:rowOff>251508</xdr:rowOff>
    </xdr:to>
    <xdr:sp macro="" textlink="'TD inf'!$Q$23">
      <xdr:nvSpPr>
        <xdr:cNvPr id="62" name="CuadroTexto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972300" y="5835015"/>
          <a:ext cx="1139190" cy="321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06A0B57-9783-4B16-B26F-6B25A0907807}" type="TxLink">
            <a:rPr lang="en-US" sz="1400" b="1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1,9%</a:t>
          </a:fld>
          <a:endParaRPr lang="es-PY" sz="18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7</xdr:col>
      <xdr:colOff>47625</xdr:colOff>
      <xdr:row>31</xdr:row>
      <xdr:rowOff>160020</xdr:rowOff>
    </xdr:from>
    <xdr:to>
      <xdr:col>9</xdr:col>
      <xdr:colOff>15254</xdr:colOff>
      <xdr:row>32</xdr:row>
      <xdr:rowOff>152354</xdr:rowOff>
    </xdr:to>
    <xdr:sp macro="" textlink="">
      <xdr:nvSpPr>
        <xdr:cNvPr id="63" name="CuadroTexto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858000" y="6065520"/>
          <a:ext cx="920129" cy="3161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del PIB</a:t>
          </a:r>
        </a:p>
      </xdr:txBody>
    </xdr:sp>
    <xdr:clientData/>
  </xdr:twoCellAnchor>
  <xdr:twoCellAnchor>
    <xdr:from>
      <xdr:col>4</xdr:col>
      <xdr:colOff>800100</xdr:colOff>
      <xdr:row>31</xdr:row>
      <xdr:rowOff>152400</xdr:rowOff>
    </xdr:from>
    <xdr:to>
      <xdr:col>4</xdr:col>
      <xdr:colOff>1123950</xdr:colOff>
      <xdr:row>33</xdr:row>
      <xdr:rowOff>47626</xdr:rowOff>
    </xdr:to>
    <xdr:sp macro="" textlink="">
      <xdr:nvSpPr>
        <xdr:cNvPr id="125" name="Flecha abajo 7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/>
      </xdr:nvSpPr>
      <xdr:spPr>
        <a:xfrm>
          <a:off x="4619625" y="6057900"/>
          <a:ext cx="323850" cy="400051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4</xdr:col>
      <xdr:colOff>647700</xdr:colOff>
      <xdr:row>34</xdr:row>
      <xdr:rowOff>28575</xdr:rowOff>
    </xdr:from>
    <xdr:to>
      <xdr:col>5</xdr:col>
      <xdr:colOff>238125</xdr:colOff>
      <xdr:row>35</xdr:row>
      <xdr:rowOff>152400</xdr:rowOff>
    </xdr:to>
    <xdr:sp macro="" textlink="">
      <xdr:nvSpPr>
        <xdr:cNvPr id="68" name="CuadroTexto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4467225" y="6619875"/>
          <a:ext cx="1038225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0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MOPC  </a:t>
          </a:r>
        </a:p>
      </xdr:txBody>
    </xdr:sp>
    <xdr:clientData/>
  </xdr:twoCellAnchor>
  <xdr:twoCellAnchor>
    <xdr:from>
      <xdr:col>4</xdr:col>
      <xdr:colOff>238126</xdr:colOff>
      <xdr:row>35</xdr:row>
      <xdr:rowOff>171450</xdr:rowOff>
    </xdr:from>
    <xdr:to>
      <xdr:col>4</xdr:col>
      <xdr:colOff>752476</xdr:colOff>
      <xdr:row>37</xdr:row>
      <xdr:rowOff>114300</xdr:rowOff>
    </xdr:to>
    <xdr:sp macro="" textlink="">
      <xdr:nvSpPr>
        <xdr:cNvPr id="128" name="CuadroTexto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4057651" y="6943725"/>
          <a:ext cx="5143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USD</a:t>
          </a:r>
        </a:p>
      </xdr:txBody>
    </xdr:sp>
    <xdr:clientData/>
  </xdr:twoCellAnchor>
  <xdr:twoCellAnchor>
    <xdr:from>
      <xdr:col>4</xdr:col>
      <xdr:colOff>781050</xdr:colOff>
      <xdr:row>38</xdr:row>
      <xdr:rowOff>38100</xdr:rowOff>
    </xdr:from>
    <xdr:to>
      <xdr:col>4</xdr:col>
      <xdr:colOff>1144944</xdr:colOff>
      <xdr:row>39</xdr:row>
      <xdr:rowOff>173355</xdr:rowOff>
    </xdr:to>
    <xdr:sp macro="" textlink="">
      <xdr:nvSpPr>
        <xdr:cNvPr id="129" name="Más 7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/>
      </xdr:nvSpPr>
      <xdr:spPr>
        <a:xfrm>
          <a:off x="4600575" y="7410450"/>
          <a:ext cx="363894" cy="316230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4</xdr:col>
      <xdr:colOff>295276</xdr:colOff>
      <xdr:row>42</xdr:row>
      <xdr:rowOff>85725</xdr:rowOff>
    </xdr:from>
    <xdr:to>
      <xdr:col>4</xdr:col>
      <xdr:colOff>809626</xdr:colOff>
      <xdr:row>44</xdr:row>
      <xdr:rowOff>28575</xdr:rowOff>
    </xdr:to>
    <xdr:sp macro="" textlink="">
      <xdr:nvSpPr>
        <xdr:cNvPr id="131" name="CuadroTexto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4114801" y="8181975"/>
          <a:ext cx="51435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USD</a:t>
          </a:r>
        </a:p>
      </xdr:txBody>
    </xdr:sp>
    <xdr:clientData/>
  </xdr:twoCellAnchor>
  <xdr:twoCellAnchor>
    <xdr:from>
      <xdr:col>4</xdr:col>
      <xdr:colOff>988695</xdr:colOff>
      <xdr:row>42</xdr:row>
      <xdr:rowOff>68580</xdr:rowOff>
    </xdr:from>
    <xdr:to>
      <xdr:col>5</xdr:col>
      <xdr:colOff>508652</xdr:colOff>
      <xdr:row>44</xdr:row>
      <xdr:rowOff>11430</xdr:rowOff>
    </xdr:to>
    <xdr:sp macro="" textlink="">
      <xdr:nvSpPr>
        <xdr:cNvPr id="132" name="CuadroTexto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4912995" y="8069580"/>
          <a:ext cx="1005857" cy="293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t>millones</a:t>
          </a:r>
        </a:p>
      </xdr:txBody>
    </xdr:sp>
    <xdr:clientData/>
  </xdr:twoCellAnchor>
  <xdr:twoCellAnchor>
    <xdr:from>
      <xdr:col>5</xdr:col>
      <xdr:colOff>121921</xdr:colOff>
      <xdr:row>37</xdr:row>
      <xdr:rowOff>36195</xdr:rowOff>
    </xdr:from>
    <xdr:to>
      <xdr:col>5</xdr:col>
      <xdr:colOff>670561</xdr:colOff>
      <xdr:row>39</xdr:row>
      <xdr:rowOff>57178</xdr:rowOff>
    </xdr:to>
    <xdr:sp macro="" textlink="">
      <xdr:nvSpPr>
        <xdr:cNvPr id="133" name="Elips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/>
      </xdr:nvSpPr>
      <xdr:spPr>
        <a:xfrm>
          <a:off x="5389246" y="7170420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93346</xdr:colOff>
      <xdr:row>37</xdr:row>
      <xdr:rowOff>80010</xdr:rowOff>
    </xdr:from>
    <xdr:to>
      <xdr:col>5</xdr:col>
      <xdr:colOff>729657</xdr:colOff>
      <xdr:row>38</xdr:row>
      <xdr:rowOff>80010</xdr:rowOff>
    </xdr:to>
    <xdr:sp macro="" textlink="'TD inf'!$Q$27">
      <xdr:nvSpPr>
        <xdr:cNvPr id="78" name="CuadroText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5360671" y="7214235"/>
          <a:ext cx="636311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6F78C01-99E9-4735-8C05-AA0FE37019A9}" type="TxLink">
            <a:rPr lang="en-US" sz="1200" b="1" i="0" u="none" strike="noStrike">
              <a:solidFill>
                <a:srgbClr val="000000"/>
              </a:solidFill>
              <a:latin typeface="Poppins" panose="02000000000000000000" pitchFamily="2" charset="0"/>
              <a:cs typeface="Poppins" panose="02000000000000000000" pitchFamily="2" charset="0"/>
            </a:rPr>
            <a:pPr algn="ctr"/>
            <a:t>84%</a:t>
          </a:fld>
          <a:endParaRPr lang="es-PY" sz="16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121921</xdr:colOff>
      <xdr:row>43</xdr:row>
      <xdr:rowOff>160020</xdr:rowOff>
    </xdr:from>
    <xdr:to>
      <xdr:col>5</xdr:col>
      <xdr:colOff>670561</xdr:colOff>
      <xdr:row>46</xdr:row>
      <xdr:rowOff>57178</xdr:rowOff>
    </xdr:to>
    <xdr:sp macro="" textlink="">
      <xdr:nvSpPr>
        <xdr:cNvPr id="134" name="Elips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/>
      </xdr:nvSpPr>
      <xdr:spPr>
        <a:xfrm>
          <a:off x="5389246" y="8437245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89536</xdr:colOff>
      <xdr:row>44</xdr:row>
      <xdr:rowOff>47625</xdr:rowOff>
    </xdr:from>
    <xdr:to>
      <xdr:col>5</xdr:col>
      <xdr:colOff>754422</xdr:colOff>
      <xdr:row>45</xdr:row>
      <xdr:rowOff>179170</xdr:rowOff>
    </xdr:to>
    <xdr:sp macro="" textlink="'TD inf'!$Q$28">
      <xdr:nvSpPr>
        <xdr:cNvPr id="79" name="CuadroTexto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5356861" y="8505825"/>
          <a:ext cx="664886" cy="312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59A45787-1D32-4F8F-AA91-8CBC33031D2F}" type="TxLink">
            <a:rPr lang="en-US" sz="1200" b="1" i="0" u="none" strike="noStrike">
              <a:solidFill>
                <a:srgbClr val="000000"/>
              </a:solidFill>
              <a:latin typeface="Poppins" panose="02000000000000000000" pitchFamily="2" charset="0"/>
              <a:cs typeface="Poppins" panose="02000000000000000000" pitchFamily="2" charset="0"/>
            </a:rPr>
            <a:pPr algn="ctr"/>
            <a:t>16%</a:t>
          </a:fld>
          <a:endParaRPr lang="es-PY" sz="1600" b="1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375286</xdr:colOff>
      <xdr:row>34</xdr:row>
      <xdr:rowOff>161925</xdr:rowOff>
    </xdr:from>
    <xdr:to>
      <xdr:col>6</xdr:col>
      <xdr:colOff>19255</xdr:colOff>
      <xdr:row>36</xdr:row>
      <xdr:rowOff>119063</xdr:rowOff>
    </xdr:to>
    <xdr:sp macro="" textlink="">
      <xdr:nvSpPr>
        <xdr:cNvPr id="135" name="Flecha abajo 8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/>
      </xdr:nvSpPr>
      <xdr:spPr>
        <a:xfrm rot="16200000">
          <a:off x="5690814" y="6705022"/>
          <a:ext cx="319088" cy="415494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76200</xdr:colOff>
      <xdr:row>34</xdr:row>
      <xdr:rowOff>114300</xdr:rowOff>
    </xdr:from>
    <xdr:to>
      <xdr:col>9</xdr:col>
      <xdr:colOff>0</xdr:colOff>
      <xdr:row>36</xdr:row>
      <xdr:rowOff>180974</xdr:rowOff>
    </xdr:to>
    <xdr:sp macro="" textlink="">
      <xdr:nvSpPr>
        <xdr:cNvPr id="136" name="CuadroTexto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15050" y="6705600"/>
          <a:ext cx="1647825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47625</xdr:colOff>
      <xdr:row>37</xdr:row>
      <xdr:rowOff>68916</xdr:rowOff>
    </xdr:from>
    <xdr:to>
      <xdr:col>8</xdr:col>
      <xdr:colOff>43815</xdr:colOff>
      <xdr:row>38</xdr:row>
      <xdr:rowOff>61095</xdr:rowOff>
    </xdr:to>
    <xdr:sp macro="" textlink="">
      <xdr:nvSpPr>
        <xdr:cNvPr id="138" name="CuadroTexto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 bwMode="auto">
        <a:xfrm>
          <a:off x="6087596" y="7184651"/>
          <a:ext cx="1542601" cy="227503"/>
        </a:xfrm>
        <a:prstGeom prst="rect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050" b="0">
              <a:latin typeface="Poppins" panose="02000000000000000000" pitchFamily="2" charset="0"/>
              <a:cs typeface="Poppins" panose="02000000000000000000" pitchFamily="2" charset="0"/>
            </a:rPr>
            <a:t>45% </a:t>
          </a:r>
          <a:r>
            <a:rPr lang="es-PY" sz="1050" b="1">
              <a:latin typeface="Poppins" panose="02000000000000000000" pitchFamily="2" charset="0"/>
              <a:cs typeface="Poppins" panose="02000000000000000000" pitchFamily="2" charset="0"/>
            </a:rPr>
            <a:t>BID  </a:t>
          </a:r>
          <a:r>
            <a:rPr lang="es-PY" sz="1050" b="0">
              <a:latin typeface="Poppins" panose="02000000000000000000" pitchFamily="2" charset="0"/>
              <a:cs typeface="Poppins" panose="02000000000000000000" pitchFamily="2" charset="0"/>
            </a:rPr>
            <a:t>USD</a:t>
          </a:r>
          <a:r>
            <a:rPr lang="es-PY" sz="1050" b="0" baseline="0">
              <a:latin typeface="Poppins" panose="02000000000000000000" pitchFamily="2" charset="0"/>
              <a:cs typeface="Poppins" panose="02000000000000000000" pitchFamily="2" charset="0"/>
            </a:rPr>
            <a:t> 246</a:t>
          </a:r>
          <a:endParaRPr lang="es-PY" sz="1050" b="0"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6</xdr:col>
      <xdr:colOff>47625</xdr:colOff>
      <xdr:row>38</xdr:row>
      <xdr:rowOff>136930</xdr:rowOff>
    </xdr:from>
    <xdr:to>
      <xdr:col>8</xdr:col>
      <xdr:colOff>43815</xdr:colOff>
      <xdr:row>40</xdr:row>
      <xdr:rowOff>5845</xdr:rowOff>
    </xdr:to>
    <xdr:sp macro="" textlink="">
      <xdr:nvSpPr>
        <xdr:cNvPr id="139" name="CuadroTexto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 bwMode="auto">
        <a:xfrm>
          <a:off x="6087596" y="7487989"/>
          <a:ext cx="1542601" cy="227503"/>
        </a:xfrm>
        <a:prstGeom prst="rect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050" b="0">
              <a:latin typeface="Poppins" panose="02000000000000000000" pitchFamily="2" charset="0"/>
              <a:cs typeface="Poppins" panose="02000000000000000000" pitchFamily="2" charset="0"/>
            </a:rPr>
            <a:t>12% </a:t>
          </a:r>
          <a:r>
            <a:rPr lang="es-PY" sz="1050" b="1">
              <a:latin typeface="Poppins" panose="02000000000000000000" pitchFamily="2" charset="0"/>
              <a:cs typeface="Poppins" panose="02000000000000000000" pitchFamily="2" charset="0"/>
            </a:rPr>
            <a:t>BONOS </a:t>
          </a:r>
          <a:r>
            <a:rPr lang="es-PY" sz="1050" b="0">
              <a:latin typeface="Poppins" panose="02000000000000000000" pitchFamily="2" charset="0"/>
              <a:cs typeface="Poppins" panose="02000000000000000000" pitchFamily="2" charset="0"/>
            </a:rPr>
            <a:t>USD</a:t>
          </a:r>
          <a:r>
            <a:rPr lang="es-PY" sz="1050" b="0" baseline="0">
              <a:latin typeface="Poppins" panose="02000000000000000000" pitchFamily="2" charset="0"/>
              <a:cs typeface="Poppins" panose="02000000000000000000" pitchFamily="2" charset="0"/>
            </a:rPr>
            <a:t> 70</a:t>
          </a:r>
          <a:endParaRPr lang="es-PY" sz="1050" b="0"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6</xdr:col>
      <xdr:colOff>47625</xdr:colOff>
      <xdr:row>40</xdr:row>
      <xdr:rowOff>81679</xdr:rowOff>
    </xdr:from>
    <xdr:to>
      <xdr:col>8</xdr:col>
      <xdr:colOff>36606</xdr:colOff>
      <xdr:row>41</xdr:row>
      <xdr:rowOff>129888</xdr:rowOff>
    </xdr:to>
    <xdr:sp macro="" textlink="">
      <xdr:nvSpPr>
        <xdr:cNvPr id="140" name="CuadroTexto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 bwMode="auto">
        <a:xfrm>
          <a:off x="6087596" y="7791326"/>
          <a:ext cx="1535392" cy="227503"/>
        </a:xfrm>
        <a:prstGeom prst="rect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050" b="0">
              <a:latin typeface="Poppins" panose="02000000000000000000" pitchFamily="2" charset="0"/>
              <a:cs typeface="Poppins" panose="02000000000000000000" pitchFamily="2" charset="0"/>
            </a:rPr>
            <a:t>8% </a:t>
          </a:r>
          <a:r>
            <a:rPr lang="es-PY" sz="1050" b="1">
              <a:latin typeface="Poppins" panose="02000000000000000000" pitchFamily="2" charset="0"/>
              <a:cs typeface="Poppins" panose="02000000000000000000" pitchFamily="2" charset="0"/>
            </a:rPr>
            <a:t>CAF </a:t>
          </a:r>
          <a:r>
            <a:rPr lang="es-PY" sz="1050" b="0">
              <a:latin typeface="Poppins" panose="02000000000000000000" pitchFamily="2" charset="0"/>
              <a:cs typeface="Poppins" panose="02000000000000000000" pitchFamily="2" charset="0"/>
            </a:rPr>
            <a:t>USD</a:t>
          </a:r>
          <a:r>
            <a:rPr lang="es-PY" sz="1050" b="0" baseline="0">
              <a:latin typeface="Poppins" panose="02000000000000000000" pitchFamily="2" charset="0"/>
              <a:cs typeface="Poppins" panose="02000000000000000000" pitchFamily="2" charset="0"/>
            </a:rPr>
            <a:t> 45</a:t>
          </a:r>
          <a:endParaRPr lang="es-PY" sz="1050" b="0"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6</xdr:col>
      <xdr:colOff>47625</xdr:colOff>
      <xdr:row>42</xdr:row>
      <xdr:rowOff>26429</xdr:rowOff>
    </xdr:from>
    <xdr:to>
      <xdr:col>8</xdr:col>
      <xdr:colOff>36606</xdr:colOff>
      <xdr:row>43</xdr:row>
      <xdr:rowOff>74638</xdr:rowOff>
    </xdr:to>
    <xdr:sp macro="" textlink="">
      <xdr:nvSpPr>
        <xdr:cNvPr id="141" name="CuadroTexto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 bwMode="auto">
        <a:xfrm>
          <a:off x="6087596" y="8094664"/>
          <a:ext cx="1535392" cy="227503"/>
        </a:xfrm>
        <a:prstGeom prst="rect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900" b="0">
              <a:latin typeface="Poppins" panose="02000000000000000000" pitchFamily="2" charset="0"/>
              <a:cs typeface="Poppins" panose="02000000000000000000" pitchFamily="2" charset="0"/>
            </a:rPr>
            <a:t>5%</a:t>
          </a:r>
          <a:r>
            <a:rPr lang="es-PY" sz="900" b="1">
              <a:latin typeface="Poppins" panose="02000000000000000000" pitchFamily="2" charset="0"/>
              <a:cs typeface="Poppins" panose="02000000000000000000" pitchFamily="2" charset="0"/>
            </a:rPr>
            <a:t> FONACIDE </a:t>
          </a:r>
          <a:r>
            <a:rPr lang="es-PY" sz="900" b="0">
              <a:latin typeface="Poppins" panose="02000000000000000000" pitchFamily="2" charset="0"/>
              <a:cs typeface="Poppins" panose="02000000000000000000" pitchFamily="2" charset="0"/>
            </a:rPr>
            <a:t>USD</a:t>
          </a:r>
          <a:r>
            <a:rPr lang="es-PY" sz="900" b="0" baseline="0">
              <a:latin typeface="Poppins" panose="02000000000000000000" pitchFamily="2" charset="0"/>
              <a:cs typeface="Poppins" panose="02000000000000000000" pitchFamily="2" charset="0"/>
            </a:rPr>
            <a:t> 27</a:t>
          </a:r>
          <a:endParaRPr lang="es-PY" sz="900" b="0"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6</xdr:col>
      <xdr:colOff>47623</xdr:colOff>
      <xdr:row>46</xdr:row>
      <xdr:rowOff>139266</xdr:rowOff>
    </xdr:from>
    <xdr:to>
      <xdr:col>8</xdr:col>
      <xdr:colOff>36604</xdr:colOff>
      <xdr:row>48</xdr:row>
      <xdr:rowOff>8181</xdr:rowOff>
    </xdr:to>
    <xdr:sp macro="" textlink="">
      <xdr:nvSpPr>
        <xdr:cNvPr id="142" name="CuadroTexto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 bwMode="auto">
        <a:xfrm>
          <a:off x="6087594" y="8924678"/>
          <a:ext cx="1535392" cy="227503"/>
        </a:xfrm>
        <a:prstGeom prst="rect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000" b="0">
              <a:latin typeface="Poppins" panose="02000000000000000000" pitchFamily="2" charset="0"/>
              <a:cs typeface="Poppins" panose="02000000000000000000" pitchFamily="2" charset="0"/>
            </a:rPr>
            <a:t>13% </a:t>
          </a:r>
          <a:r>
            <a:rPr lang="es-PY" sz="1000" b="1">
              <a:latin typeface="Poppins" panose="02000000000000000000" pitchFamily="2" charset="0"/>
              <a:cs typeface="Poppins" panose="02000000000000000000" pitchFamily="2" charset="0"/>
            </a:rPr>
            <a:t>OTROS</a:t>
          </a:r>
          <a:r>
            <a:rPr lang="es-PY" sz="1000" b="1" baseline="0">
              <a:latin typeface="Poppins" panose="02000000000000000000" pitchFamily="2" charset="0"/>
              <a:cs typeface="Poppins" panose="02000000000000000000" pitchFamily="2" charset="0"/>
            </a:rPr>
            <a:t> </a:t>
          </a:r>
          <a:r>
            <a:rPr lang="es-PY" sz="1000" b="0">
              <a:latin typeface="Poppins" panose="02000000000000000000" pitchFamily="2" charset="0"/>
              <a:cs typeface="Poppins" panose="02000000000000000000" pitchFamily="2" charset="0"/>
            </a:rPr>
            <a:t>USD</a:t>
          </a:r>
          <a:r>
            <a:rPr lang="es-PY" sz="1000" b="0" baseline="0">
              <a:latin typeface="Poppins" panose="02000000000000000000" pitchFamily="2" charset="0"/>
              <a:cs typeface="Poppins" panose="02000000000000000000" pitchFamily="2" charset="0"/>
            </a:rPr>
            <a:t> 73</a:t>
          </a:r>
          <a:endParaRPr lang="es-PY" sz="1000" b="0"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6</xdr:col>
      <xdr:colOff>54348</xdr:colOff>
      <xdr:row>43</xdr:row>
      <xdr:rowOff>101164</xdr:rowOff>
    </xdr:from>
    <xdr:to>
      <xdr:col>8</xdr:col>
      <xdr:colOff>43329</xdr:colOff>
      <xdr:row>46</xdr:row>
      <xdr:rowOff>78441</xdr:rowOff>
    </xdr:to>
    <xdr:sp macro="" textlink="">
      <xdr:nvSpPr>
        <xdr:cNvPr id="80" name="CuadroTexto 79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 bwMode="auto">
        <a:xfrm>
          <a:off x="6094319" y="8348693"/>
          <a:ext cx="1535392" cy="515160"/>
        </a:xfrm>
        <a:prstGeom prst="rect">
          <a:avLst/>
        </a:prstGeom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900" b="0">
              <a:latin typeface="Poppins" panose="02000000000000000000" pitchFamily="2" charset="0"/>
              <a:cs typeface="Poppins" panose="02000000000000000000" pitchFamily="2" charset="0"/>
            </a:rPr>
            <a:t>17% </a:t>
          </a:r>
          <a:r>
            <a:rPr lang="es-PY" sz="800" b="1">
              <a:latin typeface="Poppins" panose="02000000000000000000" pitchFamily="2" charset="0"/>
              <a:cs typeface="Poppins" panose="02000000000000000000" pitchFamily="2" charset="0"/>
            </a:rPr>
            <a:t>LLAVE</a:t>
          </a:r>
          <a:r>
            <a:rPr lang="es-PY" sz="900" b="1" baseline="0">
              <a:latin typeface="Poppins" panose="02000000000000000000" pitchFamily="2" charset="0"/>
              <a:cs typeface="Poppins" panose="02000000000000000000" pitchFamily="2" charset="0"/>
            </a:rPr>
            <a:t> EN MANO </a:t>
          </a:r>
        </a:p>
        <a:p>
          <a:pPr algn="ctr"/>
          <a:r>
            <a:rPr lang="es-PY" sz="900" b="0">
              <a:latin typeface="Poppins" panose="02000000000000000000" pitchFamily="2" charset="0"/>
              <a:cs typeface="Poppins" panose="02000000000000000000" pitchFamily="2" charset="0"/>
            </a:rPr>
            <a:t>USD</a:t>
          </a:r>
          <a:r>
            <a:rPr lang="es-PY" sz="900" b="0" baseline="0">
              <a:latin typeface="Poppins" panose="02000000000000000000" pitchFamily="2" charset="0"/>
              <a:cs typeface="Poppins" panose="02000000000000000000" pitchFamily="2" charset="0"/>
            </a:rPr>
            <a:t> 92</a:t>
          </a:r>
          <a:endParaRPr lang="es-PY" sz="900" b="0"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53340</xdr:rowOff>
    </xdr:from>
    <xdr:to>
      <xdr:col>0</xdr:col>
      <xdr:colOff>1386840</xdr:colOff>
      <xdr:row>2</xdr:row>
      <xdr:rowOff>76200</xdr:rowOff>
    </xdr:to>
    <xdr:pic>
      <xdr:nvPicPr>
        <xdr:cNvPr id="2" name="Imagen 3" descr="C:\Users\fatfra\Desktop\mh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53340"/>
          <a:ext cx="134112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198120</xdr:colOff>
      <xdr:row>0</xdr:row>
      <xdr:rowOff>152400</xdr:rowOff>
    </xdr:from>
    <xdr:to>
      <xdr:col>7</xdr:col>
      <xdr:colOff>556260</xdr:colOff>
      <xdr:row>1</xdr:row>
      <xdr:rowOff>213360</xdr:rowOff>
    </xdr:to>
    <xdr:pic>
      <xdr:nvPicPr>
        <xdr:cNvPr id="3" name="Imagen 4" descr="C:\Users\fatfra\Desktop\gobierno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4760" y="152400"/>
          <a:ext cx="92202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53340</xdr:rowOff>
    </xdr:from>
    <xdr:to>
      <xdr:col>0</xdr:col>
      <xdr:colOff>1478280</xdr:colOff>
      <xdr:row>2</xdr:row>
      <xdr:rowOff>198120</xdr:rowOff>
    </xdr:to>
    <xdr:pic>
      <xdr:nvPicPr>
        <xdr:cNvPr id="2" name="Imagen 3" descr="C:\Users\fatfra\Desktop\mh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53340"/>
          <a:ext cx="135636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281940</xdr:colOff>
      <xdr:row>1</xdr:row>
      <xdr:rowOff>0</xdr:rowOff>
    </xdr:from>
    <xdr:to>
      <xdr:col>14</xdr:col>
      <xdr:colOff>152400</xdr:colOff>
      <xdr:row>2</xdr:row>
      <xdr:rowOff>53340</xdr:rowOff>
    </xdr:to>
    <xdr:pic>
      <xdr:nvPicPr>
        <xdr:cNvPr id="3" name="Imagen 4" descr="C:\Users\fatfra\Desktop\gobierno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6120" y="198120"/>
          <a:ext cx="92202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75\Users\Users\luis_benitez\Desktop\2019\2018-Agosto\27-08-2019\Dashboard%20SITUFIN\Dashboard%20prelimina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Situfin serie mensual"/>
      <sheetName val="Serie mensual 2"/>
      <sheetName val="Aux"/>
    </sheetNames>
    <sheetDataSet>
      <sheetData sheetId="0"/>
      <sheetData sheetId="1" refreshError="1"/>
      <sheetData sheetId="2" refreshError="1"/>
      <sheetData sheetId="3">
        <row r="2">
          <cell r="D2" t="str">
            <v>Año</v>
          </cell>
          <cell r="E2" t="str">
            <v>PIB nominal</v>
          </cell>
        </row>
        <row r="3">
          <cell r="A3">
            <v>1</v>
          </cell>
          <cell r="B3" t="str">
            <v>Enero</v>
          </cell>
          <cell r="D3">
            <v>2003</v>
          </cell>
          <cell r="E3">
            <v>49411.959699781924</v>
          </cell>
          <cell r="G3">
            <v>2003</v>
          </cell>
          <cell r="H3">
            <v>6435.5050000000001</v>
          </cell>
        </row>
        <row r="4">
          <cell r="A4">
            <v>2</v>
          </cell>
          <cell r="B4" t="str">
            <v>Febrero</v>
          </cell>
          <cell r="D4">
            <v>2004</v>
          </cell>
          <cell r="E4">
            <v>57501.991731711008</v>
          </cell>
          <cell r="G4">
            <v>2004</v>
          </cell>
          <cell r="H4">
            <v>5975.6848701298695</v>
          </cell>
        </row>
        <row r="5">
          <cell r="A5">
            <v>3</v>
          </cell>
          <cell r="B5" t="str">
            <v>Marzo</v>
          </cell>
          <cell r="D5">
            <v>2005</v>
          </cell>
          <cell r="E5">
            <v>66335.828408449219</v>
          </cell>
          <cell r="G5">
            <v>2005</v>
          </cell>
          <cell r="H5">
            <v>6177.929761904762</v>
          </cell>
        </row>
        <row r="6">
          <cell r="A6">
            <v>4</v>
          </cell>
          <cell r="B6" t="str">
            <v>Abril</v>
          </cell>
          <cell r="D6">
            <v>2006</v>
          </cell>
          <cell r="E6">
            <v>75681.657797839813</v>
          </cell>
          <cell r="G6">
            <v>2006</v>
          </cell>
          <cell r="H6">
            <v>5635.5078030303039</v>
          </cell>
        </row>
        <row r="7">
          <cell r="A7">
            <v>5</v>
          </cell>
          <cell r="B7" t="str">
            <v>Mayo</v>
          </cell>
          <cell r="D7">
            <v>2007</v>
          </cell>
          <cell r="E7">
            <v>89866.048799896729</v>
          </cell>
          <cell r="G7">
            <v>2007</v>
          </cell>
          <cell r="H7">
            <v>5032.744607430137</v>
          </cell>
        </row>
        <row r="8">
          <cell r="A8">
            <v>6</v>
          </cell>
          <cell r="B8" t="str">
            <v>Junio</v>
          </cell>
          <cell r="D8">
            <v>2008</v>
          </cell>
          <cell r="E8">
            <v>107235.74452082052</v>
          </cell>
          <cell r="G8">
            <v>2008</v>
          </cell>
          <cell r="H8">
            <v>4363.0665456320312</v>
          </cell>
        </row>
        <row r="9">
          <cell r="A9">
            <v>7</v>
          </cell>
          <cell r="B9" t="str">
            <v>Julio</v>
          </cell>
          <cell r="D9">
            <v>2009</v>
          </cell>
          <cell r="E9">
            <v>110962.162519976</v>
          </cell>
          <cell r="G9">
            <v>2009</v>
          </cell>
          <cell r="H9">
            <v>4966.582265838344</v>
          </cell>
        </row>
        <row r="10">
          <cell r="A10">
            <v>8</v>
          </cell>
          <cell r="B10" t="str">
            <v>Agosto</v>
          </cell>
          <cell r="D10">
            <v>2010</v>
          </cell>
          <cell r="E10">
            <v>128989.49538850183</v>
          </cell>
          <cell r="G10">
            <v>2010</v>
          </cell>
          <cell r="H10">
            <v>4739.4784449855697</v>
          </cell>
        </row>
        <row r="11">
          <cell r="A11">
            <v>9</v>
          </cell>
          <cell r="B11" t="str">
            <v>Septiembre</v>
          </cell>
          <cell r="D11">
            <v>2011</v>
          </cell>
          <cell r="E11">
            <v>141315.79980709453</v>
          </cell>
          <cell r="G11">
            <v>2011</v>
          </cell>
          <cell r="H11">
            <v>4196.178620091895</v>
          </cell>
        </row>
        <row r="12">
          <cell r="A12">
            <v>10</v>
          </cell>
          <cell r="B12" t="str">
            <v>Octubre</v>
          </cell>
          <cell r="D12">
            <v>2012</v>
          </cell>
          <cell r="E12">
            <v>147275.54197665266</v>
          </cell>
          <cell r="G12">
            <v>2012</v>
          </cell>
          <cell r="H12">
            <v>4422.0911214209764</v>
          </cell>
        </row>
        <row r="13">
          <cell r="A13">
            <v>11</v>
          </cell>
          <cell r="B13" t="str">
            <v>Noviembre</v>
          </cell>
          <cell r="D13">
            <v>2013</v>
          </cell>
          <cell r="E13">
            <v>166714.58687094846</v>
          </cell>
          <cell r="G13">
            <v>2013</v>
          </cell>
          <cell r="H13">
            <v>4303.8810946113945</v>
          </cell>
        </row>
        <row r="14">
          <cell r="A14">
            <v>12</v>
          </cell>
          <cell r="B14" t="str">
            <v>Diciembre</v>
          </cell>
          <cell r="D14">
            <v>2014</v>
          </cell>
          <cell r="E14">
            <v>179721.60920865697</v>
          </cell>
          <cell r="G14">
            <v>2014</v>
          </cell>
          <cell r="H14">
            <v>4462.2360777646109</v>
          </cell>
        </row>
        <row r="15">
          <cell r="D15">
            <v>2015</v>
          </cell>
          <cell r="E15">
            <v>188230.72332346055</v>
          </cell>
          <cell r="G15">
            <v>2015</v>
          </cell>
          <cell r="H15">
            <v>5204.9208081108709</v>
          </cell>
        </row>
        <row r="16">
          <cell r="D16">
            <v>2016</v>
          </cell>
          <cell r="E16">
            <v>204447.2782764174</v>
          </cell>
          <cell r="G16">
            <v>2016</v>
          </cell>
          <cell r="H16">
            <v>5670.5408979978356</v>
          </cell>
        </row>
        <row r="17">
          <cell r="D17">
            <v>2017</v>
          </cell>
          <cell r="E17">
            <v>219188.41687183932</v>
          </cell>
          <cell r="G17">
            <v>2017</v>
          </cell>
          <cell r="H17">
            <v>5618.9334516428034</v>
          </cell>
        </row>
        <row r="18">
          <cell r="D18">
            <v>2018</v>
          </cell>
          <cell r="E18">
            <v>232132.77504297212</v>
          </cell>
          <cell r="G18">
            <v>2018</v>
          </cell>
          <cell r="H18">
            <v>5732.1045649777852</v>
          </cell>
        </row>
        <row r="19">
          <cell r="D19">
            <v>2019</v>
          </cell>
          <cell r="E19">
            <v>243998.30162130011</v>
          </cell>
          <cell r="G19">
            <v>2019</v>
          </cell>
          <cell r="H19">
            <v>6213.5246756295674</v>
          </cell>
        </row>
        <row r="20">
          <cell r="G20">
            <v>2020</v>
          </cell>
          <cell r="H20">
            <v>6382.2971887823751</v>
          </cell>
        </row>
      </sheetData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381249997" createdVersion="6" refreshedVersion="6" minRefreshableVersion="3" recordCount="0" supportSubquery="1" supportAdvancedDrill="1">
  <cacheSource type="external" connectionId="2"/>
  <cacheFields count="9">
    <cacheField name="[Calendario].[Año].[Año]" caption="Año" numFmtId="0" hierarchy="1" level="1">
      <sharedItems containsSemiMixedTypes="0" containsString="0" containsNumber="1" containsInteger="1" minValue="2018" maxValue="2020" count="3">
        <n v="2018"/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  <x15:cachedUniqueName index="1" name="[Calendario].[Año].&amp;[2019]"/>
            <x15:cachedUniqueName index="2" name="[Calendario].[Año].&amp;[2020]"/>
          </x15:cachedUniqueNames>
        </ext>
      </extLst>
    </cacheField>
    <cacheField name="[Calendario].[Mes].[Mes]" caption="Mes" numFmtId="0" hierarchy="4" level="1">
      <sharedItems containsSemiMixedTypes="0" containsNonDate="0" containsString="0"/>
    </cacheField>
    <cacheField name="[Measures].[Suma de Gasto Total (Obligado)]" caption="Suma de Gasto Total (Obligado)" numFmtId="0" hierarchy="140" level="32767"/>
    <cacheField name="[Measures].[Suma de Remuneración a los Empleados]" caption="Suma de Remuneración a los Empleados" numFmtId="0" hierarchy="141" level="32767"/>
    <cacheField name="[Measures].[Suma de Uso de Bienes y Servicios]" caption="Suma de Uso de Bienes y Servicios" numFmtId="0" hierarchy="142" level="32767"/>
    <cacheField name="[Measures].[Suma de Donaciones (Gasto)]" caption="Suma de Donaciones (Gasto)" numFmtId="0" hierarchy="144" level="32767"/>
    <cacheField name="[Measures].[Suma de Intereses]" caption="Suma de Intereses" numFmtId="0" hierarchy="143" level="32767"/>
    <cacheField name="[Measures].[Suma de Prestaciones Sociales]" caption="Suma de Prestaciones Sociales" numFmtId="0" hierarchy="145" level="32767"/>
    <cacheField name="[Measures].[Suma de Otros Gastos]" caption="Suma de Otros Gastos" numFmtId="0" hierarchy="146" level="32767"/>
  </cacheFields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dimensions count="4">
    <dimension name="Calendario" uniqueName="[Calendario]" caption="Calendario"/>
    <dimension name="Datos1" uniqueName="[Datos1]" caption="Datos1"/>
    <dimension measure="1" name="Measures" uniqueName="[Measures]" caption="Measures"/>
    <dimension name="Meses" uniqueName="[Meses]" caption="Meses"/>
  </dimensions>
  <measureGroups count="3">
    <measureGroup name="Calendario" caption="Calendario"/>
    <measureGroup name="Datos1" caption="Datos1"/>
    <measureGroup name="Meses" caption="Meses"/>
  </measureGroups>
  <maps count="6">
    <map measureGroup="0" dimension="0"/>
    <map measureGroup="0" dimension="3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38599537" createdVersion="6" refreshedVersion="6" minRefreshableVersion="3" recordCount="0" supportSubquery="1" supportAdvancedDrill="1">
  <cacheSource type="external" connectionId="2"/>
  <cacheFields count="9">
    <cacheField name="[Calendario].[Año].[Año]" caption="Año" numFmtId="0" hierarchy="1" level="1">
      <sharedItems containsSemiMixedTypes="0" containsString="0" containsNumber="1" containsInteger="1" minValue="2018" maxValue="2020" count="3">
        <n v="2018"/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  <x15:cachedUniqueName index="1" name="[Calendario].[Año].&amp;[2019]"/>
            <x15:cachedUniqueName index="2" name="[Calendario].[Año].&amp;[2020]"/>
          </x15:cachedUniqueNames>
        </ext>
      </extLst>
    </cacheField>
    <cacheField name="[Calendario].[Mes].[Mes]" caption="Mes" numFmtId="0" hierarchy="4" level="1">
      <sharedItems containsSemiMixedTypes="0" containsNonDate="0" containsString="0"/>
    </cacheField>
    <cacheField name="[Measures].[Suma de Ingreso Total (Recaudado)]" caption="Suma de Ingreso Total (Recaudado)" numFmtId="0" hierarchy="130" level="32767"/>
    <cacheField name="[Measures].[Suma de Ingresos Tributarios]" caption="Suma de Ingresos Tributarios" numFmtId="0" hierarchy="131" level="32767"/>
    <cacheField name="[Measures].[Suma de SET]" caption="Suma de SET" numFmtId="0" hierarchy="134" level="32767"/>
    <cacheField name="[Measures].[Suma de DNA]" caption="Suma de DNA" numFmtId="0" hierarchy="135" level="32767"/>
    <cacheField name="[Measures].[Suma de Contribuciones Sociales]" caption="Suma de Contribuciones Sociales" numFmtId="0" hierarchy="185" level="32767"/>
    <cacheField name="[Measures].[Suma de Donaciones]" caption="Suma de Donaciones" numFmtId="0" hierarchy="186" level="32767"/>
    <cacheField name="[Measures].[Suma de Otros Ingresos]" caption="Suma de Otros Ingresos" numFmtId="0" hierarchy="187" level="32767"/>
  </cacheFields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oneField="1" hidden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oneField="1" hidden="1">
      <fieldsUsage count="1">
        <fieldUsage x="8"/>
      </fieldsUsage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dimensions count="4">
    <dimension name="Calendario" uniqueName="[Calendario]" caption="Calendario"/>
    <dimension name="Datos1" uniqueName="[Datos1]" caption="Datos1"/>
    <dimension measure="1" name="Measures" uniqueName="[Measures]" caption="Measures"/>
    <dimension name="Meses" uniqueName="[Meses]" caption="Meses"/>
  </dimensions>
  <measureGroups count="3">
    <measureGroup name="Calendario" caption="Calendario"/>
    <measureGroup name="Datos1" caption="Datos1"/>
    <measureGroup name="Meses" caption="Meses"/>
  </measureGroups>
  <maps count="6">
    <map measureGroup="0" dimension="0"/>
    <map measureGroup="0" dimension="3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392245374" createdVersion="6" refreshedVersion="6" minRefreshableVersion="3" recordCount="0" supportSubquery="1" supportAdvancedDrill="1">
  <cacheSource type="external" connectionId="2"/>
  <cacheFields count="7">
    <cacheField name="[Calendario].[Año].[Año]" caption="Año" numFmtId="0" hierarchy="1" level="1">
      <sharedItems containsSemiMixedTypes="0" containsString="0" containsNumber="1" containsInteger="1" minValue="2018" maxValue="2020" count="3">
        <n v="2018"/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  <x15:cachedUniqueName index="1" name="[Calendario].[Año].&amp;[2019]"/>
            <x15:cachedUniqueName index="2" name="[Calendario].[Año].&amp;[2020]"/>
          </x15:cachedUniqueNames>
        </ext>
      </extLst>
    </cacheField>
    <cacheField name="[Calendario].[Mes].[Mes]" caption="Mes" numFmtId="0" hierarchy="4" level="1">
      <sharedItems containsSemiMixedTypes="0" containsNonDate="0" containsString="0"/>
    </cacheField>
    <cacheField name="[Measures].[Suma de Adquisición Neta de Activos no Financieros]" caption="Suma de Adquisición Neta de Activos no Financieros" numFmtId="0" hierarchy="188" level="32767"/>
    <cacheField name="[Measures].[Suma de ANANF (mm US$)]" caption="Suma de ANANF (mm US$)" numFmtId="0" hierarchy="150" level="32767"/>
    <cacheField name="[Measures].[Suma de ANANF (% del PIB)]" caption="Suma de ANANF (% del PIB)" numFmtId="0" hierarchy="157" level="32767"/>
    <cacheField name="[Measures].[Suma de MOPC (mm US$)]" caption="Suma de MOPC (mm US$)" numFmtId="0" hierarchy="148" level="32767"/>
    <cacheField name="[Measures].[Suma de Otras entidades (mm US$)]" caption="Suma de Otras entidades (mm US$)" numFmtId="0" hierarchy="149" level="32767"/>
  </cacheFields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oneField="1" hidden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oneField="1" hidden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dimensions count="4">
    <dimension name="Calendario" uniqueName="[Calendario]" caption="Calendario"/>
    <dimension name="Datos1" uniqueName="[Datos1]" caption="Datos1"/>
    <dimension measure="1" name="Measures" uniqueName="[Measures]" caption="Measures"/>
    <dimension name="Meses" uniqueName="[Meses]" caption="Meses"/>
  </dimensions>
  <measureGroups count="3">
    <measureGroup name="Calendario" caption="Calendario"/>
    <measureGroup name="Datos1" caption="Datos1"/>
    <measureGroup name="Meses" caption="Meses"/>
  </measureGroups>
  <maps count="6">
    <map measureGroup="0" dimension="0"/>
    <map measureGroup="0" dimension="3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395949076" createdVersion="6" refreshedVersion="6" minRefreshableVersion="3" recordCount="0" supportSubquery="1" supportAdvancedDrill="1">
  <cacheSource type="external" connectionId="2"/>
  <cacheFields count="5">
    <cacheField name="[Calendario].[Año].[Año]" caption="Año" numFmtId="0" hierarchy="1" level="1">
      <sharedItems containsSemiMixedTypes="0" containsString="0" containsNumber="1" containsInteger="1" minValue="2018" maxValue="2020" count="3">
        <n v="2018"/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  <x15:cachedUniqueName index="1" name="[Calendario].[Año].&amp;[2019]"/>
            <x15:cachedUniqueName index="2" name="[Calendario].[Año].&amp;[2020]"/>
          </x15:cachedUniqueNames>
        </ext>
      </extLst>
    </cacheField>
    <cacheField name="[Calendario].[Mes].[Mes]" caption="Mes" numFmtId="0" hierarchy="4" level="1">
      <sharedItems count="6">
        <s v="enero"/>
        <s v="febrero"/>
        <s v="marzo"/>
        <s v="abril"/>
        <s v="mayo"/>
        <s v="junio"/>
      </sharedItems>
    </cacheField>
    <cacheField name="[Measures].[Suma de Resultado fiscal anualizado (% del PIB)]" caption="Suma de Resultado fiscal anualizado (% del PIB)" numFmtId="0" hierarchy="156" level="32767"/>
    <cacheField name="[Calendario].[Número de mes].[Número de mes]" caption="Número de mes" numFmtId="0" hierarchy="2" level="1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  <extLst>
        <ext xmlns:x15="http://schemas.microsoft.com/office/spreadsheetml/2010/11/main" uri="{4F2E5C28-24EA-4eb8-9CBF-B6C8F9C3D259}">
          <x15:cachedUniqueNames>
            <x15:cachedUniqueName index="0" name="[Calendario].[Número de mes].&amp;[1]"/>
            <x15:cachedUniqueName index="1" name="[Calendario].[Número de mes].&amp;[2]"/>
            <x15:cachedUniqueName index="2" name="[Calendario].[Número de mes].&amp;[3]"/>
            <x15:cachedUniqueName index="3" name="[Calendario].[Número de mes].&amp;[4]"/>
            <x15:cachedUniqueName index="4" name="[Calendario].[Número de mes].&amp;[5]"/>
            <x15:cachedUniqueName index="5" name="[Calendario].[Número de mes].&amp;[6]"/>
            <x15:cachedUniqueName index="6" name="[Calendario].[Número de mes].&amp;[7]"/>
            <x15:cachedUniqueName index="7" name="[Calendario].[Número de mes].&amp;[8]"/>
          </x15:cachedUniqueNames>
        </ext>
      </extLst>
    </cacheField>
    <cacheField name="[Measures].[Suma de ANANF anualizado (% del PIB)]" caption="Suma de ANANF anualizado (% del PIB)" numFmtId="0" hierarchy="155" level="32767"/>
  </cacheFields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2" memberValueDatatype="20" unbalanced="0">
      <fieldsUsage count="2">
        <fieldUsage x="-1"/>
        <fieldUsage x="3"/>
      </fieldsUsage>
    </cacheHierarchy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dimensions count="4">
    <dimension name="Calendario" uniqueName="[Calendario]" caption="Calendario"/>
    <dimension name="Datos1" uniqueName="[Datos1]" caption="Datos1"/>
    <dimension measure="1" name="Measures" uniqueName="[Measures]" caption="Measures"/>
    <dimension name="Meses" uniqueName="[Meses]" caption="Meses"/>
  </dimensions>
  <measureGroups count="3">
    <measureGroup name="Calendario" caption="Calendario"/>
    <measureGroup name="Datos1" caption="Datos1"/>
    <measureGroup name="Meses" caption="Meses"/>
  </measureGroups>
  <maps count="6">
    <map measureGroup="0" dimension="0"/>
    <map measureGroup="0" dimension="3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401504626" createdVersion="6" refreshedVersion="6" minRefreshableVersion="3" recordCount="0" supportSubquery="1" supportAdvancedDrill="1">
  <cacheSource type="external" connectionId="2"/>
  <cacheFields count="3">
    <cacheField name="[Calendario].[Año].[Año]" caption="Año" numFmtId="0" hierarchy="1" level="1">
      <sharedItems containsSemiMixedTypes="0" containsString="0" containsNumber="1" containsInteger="1" minValue="2018" maxValue="2020" count="3">
        <n v="2018"/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  <x15:cachedUniqueName index="1" name="[Calendario].[Año].&amp;[2019]"/>
            <x15:cachedUniqueName index="2" name="[Calendario].[Año].&amp;[2020]"/>
          </x15:cachedUniqueNames>
        </ext>
      </extLst>
    </cacheField>
    <cacheField name="[Calendario].[Mes].[Mes]" caption="Mes" numFmtId="0" hierarchy="4" level="1">
      <sharedItems containsSemiMixedTypes="0" containsNonDate="0" containsString="0"/>
    </cacheField>
    <cacheField name="[Measures].[Suma de Resultado Fiscal (% del PIB)]" caption="Suma de Resultado Fiscal (% del PIB)" numFmtId="0" hierarchy="151" level="32767"/>
  </cacheFields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dimensions count="4">
    <dimension name="Calendario" uniqueName="[Calendario]" caption="Calendario"/>
    <dimension name="Datos1" uniqueName="[Datos1]" caption="Datos1"/>
    <dimension measure="1" name="Measures" uniqueName="[Measures]" caption="Measures"/>
    <dimension name="Meses" uniqueName="[Meses]" caption="Meses"/>
  </dimensions>
  <measureGroups count="3">
    <measureGroup name="Calendario" caption="Calendario"/>
    <measureGroup name="Datos1" caption="Datos1"/>
    <measureGroup name="Meses" caption="Meses"/>
  </measureGroups>
  <maps count="6">
    <map measureGroup="0" dimension="0"/>
    <map measureGroup="0" dimension="3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407291668" createdVersion="6" refreshedVersion="6" minRefreshableVersion="3" recordCount="0" supportSubquery="1" supportAdvancedDrill="1">
  <cacheSource type="external" connectionId="2"/>
  <cacheFields count="3">
    <cacheField name="[Calendario].[Año].[Año]" caption="Año" numFmtId="0" hierarchy="1" level="1">
      <sharedItems containsSemiMixedTypes="0" containsString="0" containsNumber="1" containsInteger="1" minValue="2018" maxValue="2020" count="3">
        <n v="2018"/>
        <n v="2019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Calendario].[Año].&amp;[2018]"/>
            <x15:cachedUniqueName index="1" name="[Calendario].[Año].&amp;[2019]"/>
            <x15:cachedUniqueName index="2" name="[Calendario].[Año].&amp;[2020]"/>
          </x15:cachedUniqueNames>
        </ext>
      </extLst>
    </cacheField>
    <cacheField name="[Calendario].[Mes].[Mes]" caption="Mes" numFmtId="0" hierarchy="4" level="1">
      <sharedItems containsSemiMixedTypes="0" containsNonDate="0" containsString="0"/>
    </cacheField>
    <cacheField name="[Measures].[Suma de Resultado Fiscal (millones de US$)]" caption="Suma de Resultado Fiscal (millones de US$)" numFmtId="0" hierarchy="184" level="32767"/>
  </cacheFields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0"/>
      </fieldsUsage>
    </cacheHierarchy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>
      <fieldsUsage count="2">
        <fieldUsage x="-1"/>
        <fieldUsage x="1"/>
      </fieldsUsage>
    </cacheHierarchy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dimensions count="4">
    <dimension name="Calendario" uniqueName="[Calendario]" caption="Calendario"/>
    <dimension name="Datos1" uniqueName="[Datos1]" caption="Datos1"/>
    <dimension measure="1" name="Measures" uniqueName="[Measures]" caption="Measures"/>
    <dimension name="Meses" uniqueName="[Meses]" caption="Meses"/>
  </dimensions>
  <measureGroups count="3">
    <measureGroup name="Calendario" caption="Calendario"/>
    <measureGroup name="Datos1" caption="Datos1"/>
    <measureGroup name="Meses" caption="Meses"/>
  </measureGroups>
  <maps count="6">
    <map measureGroup="0" dimension="0"/>
    <map measureGroup="0" dimension="3"/>
    <map measureGroup="1" dimension="0"/>
    <map measureGroup="1" dimension="1"/>
    <map measureGroup="1" dimension="3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Luis Alberto Benítez" refreshedDate="44082.791311921297" createdVersion="3" refreshedVersion="6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93">
    <cacheHierarchy uniqueName="[Calendario].[Date]" caption="Date" attribute="1" time="1" keyAttribute="1" defaultMemberUniqueName="[Calendario].[Date].[All]" allUniqueName="[Calendario].[Date].[All]" dimensionUniqueName="[Calendario]" displayFolder="" count="0" memberValueDatatype="7" unbalanced="0"/>
    <cacheHierarchy uniqueName="[Calendario].[Año]" caption="Año" attribute="1" time="1" defaultMemberUniqueName="[Calendario].[Año].[All]" allUniqueName="[Calendario].[Año].[All]" dimensionUniqueName="[Calendario]" displayFolder="" count="2" memberValueDatatype="20" unbalanced="0"/>
    <cacheHierarchy uniqueName="[Calendario].[Número de mes]" caption="Número de mes" attribute="1" time="1" defaultMemberUniqueName="[Calendario].[Número de mes].[All]" allUniqueName="[Calendario].[Número de mes].[All]" dimensionUniqueName="[Calendario]" displayFolder="" count="0" memberValueDatatype="20" unbalanced="0"/>
    <cacheHierarchy uniqueName="[Calendario].[Jerarquía de fechas]" caption="Jerarquía de fechas" time="1" defaultMemberUniqueName="[Calendario].[Jerarquía de fechas].[All]" allUniqueName="[Calendario].[Jerarquía de fechas].[All]" dimensionUniqueName="[Calendario]" displayFolder="" count="0" unbalanced="0"/>
    <cacheHierarchy uniqueName="[Calendario].[Mes]" caption="Mes" attribute="1" time="1" defaultMemberUniqueName="[Calendario].[Mes].[All]" allUniqueName="[Calendario].[Mes].[All]" dimensionUniqueName="[Calendario]" displayFolder="" count="2" memberValueDatatype="130" unbalanced="0"/>
    <cacheHierarchy uniqueName="[Calendario].[MMM-AAAA]" caption="MMM-AAAA" attribute="1" time="1" defaultMemberUniqueName="[Calendario].[MMM-AAAA].[All]" allUniqueName="[Calendario].[MMM-AAAA].[All]" dimensionUniqueName="[Calendario]" displayFolder="" count="0" memberValueDatatype="130" unbalanced="0"/>
    <cacheHierarchy uniqueName="[Calendario].[Número de día de la semana]" caption="Número de día de la semana" attribute="1" time="1" defaultMemberUniqueName="[Calendario].[Número de día de la semana].[All]" allUniqueName="[Calendario].[Número de día de la semana].[All]" dimensionUniqueName="[Calendario]" displayFolder="" count="0" memberValueDatatype="20" unbalanced="0"/>
    <cacheHierarchy uniqueName="[Calendario].[Día de la semana]" caption="Día de la semana" attribute="1" time="1" defaultMemberUniqueName="[Calendario].[Día de la semana].[All]" allUniqueName="[Calendario].[Día de la semana].[All]" dimensionUniqueName="[Calendario]" displayFolder="" count="0" memberValueDatatype="130" unbalanced="0"/>
    <cacheHierarchy uniqueName="[Datos1].[Orden]" caption="Orden" attribute="1" defaultMemberUniqueName="[Datos1].[Orden].[All]" allUniqueName="[Datos1].[Orden].[All]" dimensionUniqueName="[Datos1]" displayFolder="" count="0" memberValueDatatype="20" unbalanced="0"/>
    <cacheHierarchy uniqueName="[Datos1].[Periodo]" caption="Periodo" attribute="1" time="1" defaultMemberUniqueName="[Datos1].[Periodo].[All]" allUniqueName="[Datos1].[Periodo].[All]" dimensionUniqueName="[Datos1]" displayFolder="" count="0" memberValueDatatype="7" unbalanced="0"/>
    <cacheHierarchy uniqueName="[Datos1].[Mes]" caption="Mes" attribute="1" defaultMemberUniqueName="[Datos1].[Mes].[All]" allUniqueName="[Datos1].[Mes].[All]" dimensionUniqueName="[Datos1]" displayFolder="" count="0" memberValueDatatype="130" unbalanced="0"/>
    <cacheHierarchy uniqueName="[Datos1].[Año]" caption="Año" attribute="1" defaultMemberUniqueName="[Datos1].[Año].[All]" allUniqueName="[Datos1].[Año].[All]" dimensionUniqueName="[Datos1]" displayFolder="" count="0" memberValueDatatype="20" unbalanced="0"/>
    <cacheHierarchy uniqueName="[Datos1].[PIB nominal (miles de millones de G.)]" caption="PIB nominal (miles de millones de G.)" attribute="1" defaultMemberUniqueName="[Datos1].[PIB nominal (miles de millones de G.)].[All]" allUniqueName="[Datos1].[PIB nominal (miles de millones de G.)].[All]" dimensionUniqueName="[Datos1]" displayFolder="" count="0" memberValueDatatype="5" unbalanced="0"/>
    <cacheHierarchy uniqueName="[Datos1].[Tipo de cambio Gs./US$]" caption="Tipo de cambio Gs./US$" attribute="1" defaultMemberUniqueName="[Datos1].[Tipo de cambio Gs./US$].[All]" allUniqueName="[Datos1].[Tipo de cambio Gs./US$].[All]" dimensionUniqueName="[Datos1]" displayFolder="" count="0" memberValueDatatype="5" unbalanced="0"/>
    <cacheHierarchy uniqueName="[Datos1].[Ingreso Total (Recaudado)]" caption="Ingreso Total (Recaudado)" attribute="1" defaultMemberUniqueName="[Datos1].[Ingreso Total (Recaudado)].[All]" allUniqueName="[Datos1].[Ingreso Total (Recaudado)].[All]" dimensionUniqueName="[Datos1]" displayFolder="" count="0" memberValueDatatype="5" unbalanced="0"/>
    <cacheHierarchy uniqueName="[Datos1].[Ingreso Total (% del PIB)]" caption="Ingreso Total (% del PIB)" attribute="1" defaultMemberUniqueName="[Datos1].[Ingreso Total (% del PIB)].[All]" allUniqueName="[Datos1].[Ingreso Total (% del PIB)].[All]" dimensionUniqueName="[Datos1]" displayFolder="" count="0" memberValueDatatype="5" unbalanced="0"/>
    <cacheHierarchy uniqueName="[Datos1].[IT acumulado por año]" caption="IT acumulado por año" attribute="1" defaultMemberUniqueName="[Datos1].[IT acumulado por año].[All]" allUniqueName="[Datos1].[IT acumulado por año].[All]" dimensionUniqueName="[Datos1]" displayFolder="" count="0" memberValueDatatype="5" unbalanced="0"/>
    <cacheHierarchy uniqueName="[Datos1].[IT Suma 12 meses]" caption="IT Suma 12 meses" attribute="1" defaultMemberUniqueName="[Datos1].[IT Suma 12 meses].[All]" allUniqueName="[Datos1].[IT Suma 12 meses].[All]" dimensionUniqueName="[Datos1]" displayFolder="" count="0" memberValueDatatype="5" unbalanced="0"/>
    <cacheHierarchy uniqueName="[Datos1].[% Var acum Ingreso total]" caption="% Var acum Ingreso total" attribute="1" defaultMemberUniqueName="[Datos1].[% Var acum Ingreso total].[All]" allUniqueName="[Datos1].[% Var acum Ingreso total].[All]" dimensionUniqueName="[Datos1]" displayFolder="" count="0" memberValueDatatype="5" unbalanced="0"/>
    <cacheHierarchy uniqueName="[Datos1].[% Var interanual]" caption="% Var interanual" attribute="1" defaultMemberUniqueName="[Datos1].[% Var interanual].[All]" allUniqueName="[Datos1].[% Var interanual].[All]" dimensionUniqueName="[Datos1]" displayFolder="" count="0" memberValueDatatype="5" unbalanced="0"/>
    <cacheHierarchy uniqueName="[Datos1].[% Var suma 12 meses]" caption="% Var suma 12 meses" attribute="1" defaultMemberUniqueName="[Datos1].[% Var suma 12 meses].[All]" allUniqueName="[Datos1].[% Var suma 12 meses].[All]" dimensionUniqueName="[Datos1]" displayFolder="" count="0" memberValueDatatype="5" unbalanced="0"/>
    <cacheHierarchy uniqueName="[Datos1].[Ingresos Tributarios]" caption="Ingresos Tributarios" attribute="1" defaultMemberUniqueName="[Datos1].[Ingresos Tributarios].[All]" allUniqueName="[Datos1].[Ingresos Tributarios].[All]" dimensionUniqueName="[Datos1]" displayFolder="" count="0" memberValueDatatype="5" unbalanced="0"/>
    <cacheHierarchy uniqueName="[Datos1].[Presión Tributaria]" caption="Presión Tributaria" attribute="1" defaultMemberUniqueName="[Datos1].[Presión Tributaria].[All]" allUniqueName="[Datos1].[Presión Tributaria].[All]" dimensionUniqueName="[Datos1]" displayFolder="" count="0" memberValueDatatype="5" unbalanced="0"/>
    <cacheHierarchy uniqueName="[Datos1].[Tributarios Acum. Por año]" caption="Tributarios Acum. Por año" attribute="1" defaultMemberUniqueName="[Datos1].[Tributarios Acum. Por año].[All]" allUniqueName="[Datos1].[Tributarios Acum. Por año].[All]" dimensionUniqueName="[Datos1]" displayFolder="" count="0" memberValueDatatype="5" unbalanced="0"/>
    <cacheHierarchy uniqueName="[Datos1].[Tributarios suma 12 meses]" caption="Tributarios suma 12 meses" attribute="1" defaultMemberUniqueName="[Datos1].[Tributarios suma 12 meses].[All]" allUniqueName="[Datos1].[Tributarios suma 12 meses].[All]" dimensionUniqueName="[Datos1]" displayFolder="" count="0" memberValueDatatype="5" unbalanced="0"/>
    <cacheHierarchy uniqueName="[Datos1].[% Var. Interanual Tributarios]" caption="% Var. Interanual Tributarios" attribute="1" defaultMemberUniqueName="[Datos1].[% Var. Interanual Tributarios].[All]" allUniqueName="[Datos1].[% Var. Interanual Tributarios].[All]" dimensionUniqueName="[Datos1]" displayFolder="" count="0" memberValueDatatype="5" unbalanced="0"/>
    <cacheHierarchy uniqueName="[Datos1].[% Var. Acum. Tributarios]" caption="% Var. Acum. Tributarios" attribute="1" defaultMemberUniqueName="[Datos1].[% Var. Acum. Tributarios].[All]" allUniqueName="[Datos1].[% Var. Acum. Tributarios].[All]" dimensionUniqueName="[Datos1]" displayFolder="" count="0" memberValueDatatype="5" unbalanced="0"/>
    <cacheHierarchy uniqueName="[Datos1].[% Var. Suma 12m Tributarios]" caption="% Var. Suma 12m Tributarios" attribute="1" defaultMemberUniqueName="[Datos1].[% Var. Suma 12m Tributarios].[All]" allUniqueName="[Datos1].[% Var. Suma 12m Tributarios].[All]" dimensionUniqueName="[Datos1]" displayFolder="" count="0" memberValueDatatype="5" unbalanced="0"/>
    <cacheHierarchy uniqueName="[Datos1].[SET]" caption="SET" attribute="1" defaultMemberUniqueName="[Datos1].[SET].[All]" allUniqueName="[Datos1].[SET].[All]" dimensionUniqueName="[Datos1]" displayFolder="" count="0" memberValueDatatype="5" unbalanced="0"/>
    <cacheHierarchy uniqueName="[Datos1].[SET suma 12 meses]" caption="SET suma 12 meses" attribute="1" defaultMemberUniqueName="[Datos1].[SET suma 12 meses].[All]" allUniqueName="[Datos1].[SET suma 12 meses].[All]" dimensionUniqueName="[Datos1]" displayFolder="" count="0" memberValueDatatype="5" unbalanced="0"/>
    <cacheHierarchy uniqueName="[Datos1].[% Var. Anualizado SET]" caption="% Var. Anualizado SET" attribute="1" defaultMemberUniqueName="[Datos1].[% Var. Anualizado SET].[All]" allUniqueName="[Datos1].[% Var. Anualizado SET].[All]" dimensionUniqueName="[Datos1]" displayFolder="" count="0" memberValueDatatype="5" unbalanced="0"/>
    <cacheHierarchy uniqueName="[Datos1].[% Var. Interanual SET]" caption="% Var. Interanual SET" attribute="1" defaultMemberUniqueName="[Datos1].[% Var. Interanual SET].[All]" allUniqueName="[Datos1].[% Var. Interanual SET].[All]" dimensionUniqueName="[Datos1]" displayFolder="" count="0" memberValueDatatype="5" unbalanced="0"/>
    <cacheHierarchy uniqueName="[Datos1].[DNA]" caption="DNA" attribute="1" defaultMemberUniqueName="[Datos1].[DNA].[All]" allUniqueName="[Datos1].[DNA].[All]" dimensionUniqueName="[Datos1]" displayFolder="" count="0" memberValueDatatype="5" unbalanced="0"/>
    <cacheHierarchy uniqueName="[Datos1].[DNA suma 12 meses]" caption="DNA suma 12 meses" attribute="1" defaultMemberUniqueName="[Datos1].[DNA suma 12 meses].[All]" allUniqueName="[Datos1].[DNA suma 12 meses].[All]" dimensionUniqueName="[Datos1]" displayFolder="" count="0" memberValueDatatype="5" unbalanced="0"/>
    <cacheHierarchy uniqueName="[Datos1].[% Var. Anualizado DNA]" caption="% Var. Anualizado DNA" attribute="1" defaultMemberUniqueName="[Datos1].[% Var. Anualizado DNA].[All]" allUniqueName="[Datos1].[% Var. Anualizado DNA].[All]" dimensionUniqueName="[Datos1]" displayFolder="" count="0" memberValueDatatype="5" unbalanced="0"/>
    <cacheHierarchy uniqueName="[Datos1].[% Var. Interanual DNA]" caption="% Var. Interanual DNA" attribute="1" defaultMemberUniqueName="[Datos1].[% Var. Interanual DNA].[All]" allUniqueName="[Datos1].[% Var. Interanual DNA].[All]" dimensionUniqueName="[Datos1]" displayFolder="" count="0" memberValueDatatype="5" unbalanced="0"/>
    <cacheHierarchy uniqueName="[Datos1].[Contribuciones Sociales]" caption="Contribuciones Sociales" attribute="1" defaultMemberUniqueName="[Datos1].[Contribuciones Sociales].[All]" allUniqueName="[Datos1].[Contribuciones Sociales].[All]" dimensionUniqueName="[Datos1]" displayFolder="" count="0" memberValueDatatype="5" unbalanced="0"/>
    <cacheHierarchy uniqueName="[Datos1].[Contribuciones Sociales (% del PIB)]" caption="Contribuciones Sociales (% del PIB)" attribute="1" defaultMemberUniqueName="[Datos1].[Contribuciones Sociales (% del PIB)].[All]" allUniqueName="[Datos1].[Contribuciones Sociales (% del PIB)].[All]" dimensionUniqueName="[Datos1]" displayFolder="" count="0" memberValueDatatype="5" unbalanced="0"/>
    <cacheHierarchy uniqueName="[Datos1].[Donaciones]" caption="Donaciones" attribute="1" defaultMemberUniqueName="[Datos1].[Donaciones].[All]" allUniqueName="[Datos1].[Donaciones].[All]" dimensionUniqueName="[Datos1]" displayFolder="" count="0" memberValueDatatype="5" unbalanced="0"/>
    <cacheHierarchy uniqueName="[Datos1].[Donaciones (% del PIB)]" caption="Donaciones (% del PIB)" attribute="1" defaultMemberUniqueName="[Datos1].[Donaciones (% del PIB)].[All]" allUniqueName="[Datos1].[Donaciones (% del PIB)].[All]" dimensionUniqueName="[Datos1]" displayFolder="" count="0" memberValueDatatype="5" unbalanced="0"/>
    <cacheHierarchy uniqueName="[Datos1].[Otros Ingresos]" caption="Otros Ingresos" attribute="1" defaultMemberUniqueName="[Datos1].[Otros Ingresos].[All]" allUniqueName="[Datos1].[Otros Ingresos].[All]" dimensionUniqueName="[Datos1]" displayFolder="" count="0" memberValueDatatype="5" unbalanced="0"/>
    <cacheHierarchy uniqueName="[Datos1].[Otros ingresos (millones de US$)]" caption="Otros ingresos (millones de US$)" attribute="1" defaultMemberUniqueName="[Datos1].[Otros ingresos (millones de US$)].[All]" allUniqueName="[Datos1].[Otros ingresos (millones de US$)].[All]" dimensionUniqueName="[Datos1]" displayFolder="" count="0" memberValueDatatype="5" unbalanced="0"/>
    <cacheHierarchy uniqueName="[Datos1].[Itaipú]" caption="Itaipú" attribute="1" defaultMemberUniqueName="[Datos1].[Itaipú].[All]" allUniqueName="[Datos1].[Itaipú].[All]" dimensionUniqueName="[Datos1]" displayFolder="" count="0" memberValueDatatype="5" unbalanced="0"/>
    <cacheHierarchy uniqueName="[Datos1].[Itaipú (millones de US$)]" caption="Itaipú (millones de US$)" attribute="1" defaultMemberUniqueName="[Datos1].[Itaipú (millones de US$)].[All]" allUniqueName="[Datos1].[Itaipú (millones de US$)].[All]" dimensionUniqueName="[Datos1]" displayFolder="" count="0" memberValueDatatype="5" unbalanced="0"/>
    <cacheHierarchy uniqueName="[Datos1].[Itaipú acumulado por año (millones de US$)]" caption="Itaipú acumulado por año (millones de US$)" attribute="1" defaultMemberUniqueName="[Datos1].[Itaipú acumulado por año (millones de US$)].[All]" allUniqueName="[Datos1].[Itaipú acumulado por año (millones de US$)].[All]" dimensionUniqueName="[Datos1]" displayFolder="" count="0" memberValueDatatype="5" unbalanced="0"/>
    <cacheHierarchy uniqueName="[Datos1].[Yacyretá]" caption="Yacyretá" attribute="1" defaultMemberUniqueName="[Datos1].[Yacyretá].[All]" allUniqueName="[Datos1].[Yacyretá].[All]" dimensionUniqueName="[Datos1]" displayFolder="" count="0" memberValueDatatype="5" unbalanced="0"/>
    <cacheHierarchy uniqueName="[Datos1].[Yacyretá (en millones de US$)]" caption="Yacyretá (en millones de US$)" attribute="1" defaultMemberUniqueName="[Datos1].[Yacyretá (en millones de US$)].[All]" allUniqueName="[Datos1].[Yacyretá (en millones de US$)].[All]" dimensionUniqueName="[Datos1]" displayFolder="" count="0" memberValueDatatype="5" unbalanced="0"/>
    <cacheHierarchy uniqueName="[Datos1].[Yacyretá acumulado por año (millones de US$)]" caption="Yacyretá acumulado por año (millones de US$)" attribute="1" defaultMemberUniqueName="[Datos1].[Yacyretá acumulado por año (millones de US$)].[All]" allUniqueName="[Datos1].[Yacyretá acumulado por año (millones de US$)].[All]" dimensionUniqueName="[Datos1]" displayFolder="" count="0" memberValueDatatype="5" unbalanced="0"/>
    <cacheHierarchy uniqueName="[Datos1].[Otros Ingr.]" caption="Otros Ingr." attribute="1" defaultMemberUniqueName="[Datos1].[Otros Ingr.].[All]" allUniqueName="[Datos1].[Otros Ingr.].[All]" dimensionUniqueName="[Datos1]" displayFolder="" count="0" memberValueDatatype="5" unbalanced="0"/>
    <cacheHierarchy uniqueName="[Datos1].[Gasto Total (Obligado)]" caption="Gasto Total (Obligado)" attribute="1" defaultMemberUniqueName="[Datos1].[Gasto Total (Obligado)].[All]" allUniqueName="[Datos1].[Gasto Total (Obligado)].[All]" dimensionUniqueName="[Datos1]" displayFolder="" count="0" memberValueDatatype="5" unbalanced="0"/>
    <cacheHierarchy uniqueName="[Datos1].[Gasto Total (% del PIB)]" caption="Gasto Total (% del PIB)" attribute="1" defaultMemberUniqueName="[Datos1].[Gasto Total (% del PIB)].[All]" allUniqueName="[Datos1].[Gasto Total (% del PIB)].[All]" dimensionUniqueName="[Datos1]" displayFolder="" count="0" memberValueDatatype="5" unbalanced="0"/>
    <cacheHierarchy uniqueName="[Datos1].[Gasto total acumulado por año]" caption="Gasto total acumulado por año" attribute="1" defaultMemberUniqueName="[Datos1].[Gasto total acumulado por año].[All]" allUniqueName="[Datos1].[Gasto total acumulado por año].[All]" dimensionUniqueName="[Datos1]" displayFolder="" count="0" memberValueDatatype="5" unbalanced="0"/>
    <cacheHierarchy uniqueName="[Datos1].[Gasto Total suma 12 meses]" caption="Gasto Total suma 12 meses" attribute="1" defaultMemberUniqueName="[Datos1].[Gasto Total suma 12 meses].[All]" allUniqueName="[Datos1].[Gasto Total suma 12 meses].[All]" dimensionUniqueName="[Datos1]" displayFolder="" count="0" memberValueDatatype="5" unbalanced="0"/>
    <cacheHierarchy uniqueName="[Datos1].[% Var interanual gasto total]" caption="% Var interanual gasto total" attribute="1" defaultMemberUniqueName="[Datos1].[% Var interanual gasto total].[All]" allUniqueName="[Datos1].[% Var interanual gasto total].[All]" dimensionUniqueName="[Datos1]" displayFolder="" count="0" memberValueDatatype="5" unbalanced="0"/>
    <cacheHierarchy uniqueName="[Datos1].[% Var acumulado gasto total]" caption="% Var acumulado gasto total" attribute="1" defaultMemberUniqueName="[Datos1].[% Var acumulado gasto total].[All]" allUniqueName="[Datos1].[% Var acumulado gasto total].[All]" dimensionUniqueName="[Datos1]" displayFolder="" count="0" memberValueDatatype="5" unbalanced="0"/>
    <cacheHierarchy uniqueName="[Datos1].[% Var. Anualizado GT]" caption="% Var. Anualizado GT" attribute="1" defaultMemberUniqueName="[Datos1].[% Var. Anualizado GT].[All]" allUniqueName="[Datos1].[% Var. Anualizado GT].[All]" dimensionUniqueName="[Datos1]" displayFolder="" count="0" memberValueDatatype="5" unbalanced="0"/>
    <cacheHierarchy uniqueName="[Datos1].[Remuneración a los Empleados]" caption="Remuneración a los Empleados" attribute="1" defaultMemberUniqueName="[Datos1].[Remuneración a los Empleados].[All]" allUniqueName="[Datos1].[Remuneración a los Empleados].[All]" dimensionUniqueName="[Datos1]" displayFolder="" count="0" memberValueDatatype="5" unbalanced="0"/>
    <cacheHierarchy uniqueName="[Datos1].[Remun. Acum. Por año]" caption="Remun. Acum. Por año" attribute="1" defaultMemberUniqueName="[Datos1].[Remun. Acum. Por año].[All]" allUniqueName="[Datos1].[Remun. Acum. Por año].[All]" dimensionUniqueName="[Datos1]" displayFolder="" count="0" memberValueDatatype="5" unbalanced="0"/>
    <cacheHierarchy uniqueName="[Datos1].[Remun. Suma 12 meses]" caption="Remun. Suma 12 meses" attribute="1" defaultMemberUniqueName="[Datos1].[Remun. Suma 12 meses].[All]" allUniqueName="[Datos1].[Remun. Suma 12 meses].[All]" dimensionUniqueName="[Datos1]" displayFolder="" count="0" memberValueDatatype="5" unbalanced="0"/>
    <cacheHierarchy uniqueName="[Datos1].[% Var. Interanual Remun.]" caption="% Var. Interanual Remun." attribute="1" defaultMemberUniqueName="[Datos1].[% Var. Interanual Remun.].[All]" allUniqueName="[Datos1].[% Var. Interanual Remun.].[All]" dimensionUniqueName="[Datos1]" displayFolder="" count="0" memberValueDatatype="5" unbalanced="0"/>
    <cacheHierarchy uniqueName="[Datos1].[% Var. Acumulado Remun.]" caption="% Var. Acumulado Remun." attribute="1" defaultMemberUniqueName="[Datos1].[% Var. Acumulado Remun.].[All]" allUniqueName="[Datos1].[% Var. Acumulado Remun.].[All]" dimensionUniqueName="[Datos1]" displayFolder="" count="0" memberValueDatatype="5" unbalanced="0"/>
    <cacheHierarchy uniqueName="[Datos1].[% Var. Anualizado Remun.]" caption="% Var. Anualizado Remun." attribute="1" defaultMemberUniqueName="[Datos1].[% Var. Anualizado Remun.].[All]" allUniqueName="[Datos1].[% Var. Anualizado Remun.].[All]" dimensionUniqueName="[Datos1]" displayFolder="" count="0" memberValueDatatype="5" unbalanced="0"/>
    <cacheHierarchy uniqueName="[Datos1].[Sueldos]" caption="Sueldos" attribute="1" defaultMemberUniqueName="[Datos1].[Sueldos].[All]" allUniqueName="[Datos1].[Sueldos].[All]" dimensionUniqueName="[Datos1]" displayFolder="" count="0" memberValueDatatype="5" unbalanced="0"/>
    <cacheHierarchy uniqueName="[Datos1].[Otras remuneraciones]" caption="Otras remuneraciones" attribute="1" defaultMemberUniqueName="[Datos1].[Otras remuneraciones].[All]" allUniqueName="[Datos1].[Otras remuneraciones].[All]" dimensionUniqueName="[Datos1]" displayFolder="" count="0" memberValueDatatype="5" unbalanced="0"/>
    <cacheHierarchy uniqueName="[Datos1].[Uso de Bienes y Servicios]" caption="Uso de Bienes y Servicios" attribute="1" defaultMemberUniqueName="[Datos1].[Uso de Bienes y Servicios].[All]" allUniqueName="[Datos1].[Uso de Bienes y Servicios].[All]" dimensionUniqueName="[Datos1]" displayFolder="" count="0" memberValueDatatype="5" unbalanced="0"/>
    <cacheHierarchy uniqueName="[Datos1].[Intereses]" caption="Intereses" attribute="1" defaultMemberUniqueName="[Datos1].[Intereses].[All]" allUniqueName="[Datos1].[Intereses].[All]" dimensionUniqueName="[Datos1]" displayFolder="" count="0" memberValueDatatype="5" unbalanced="0"/>
    <cacheHierarchy uniqueName="[Datos1].[Intereses (millones de US$)]" caption="Intereses (millones de US$)" attribute="1" defaultMemberUniqueName="[Datos1].[Intereses (millones de US$)].[All]" allUniqueName="[Datos1].[Intereses (millones de US$)].[All]" dimensionUniqueName="[Datos1]" displayFolder="" count="0" memberValueDatatype="5" unbalanced="0"/>
    <cacheHierarchy uniqueName="[Datos1].[Intereses (% del PIB)]" caption="Intereses (% del PIB)" attribute="1" defaultMemberUniqueName="[Datos1].[Intereses (% del PIB)].[All]" allUniqueName="[Datos1].[Intereses (% del PIB)].[All]" dimensionUniqueName="[Datos1]" displayFolder="" count="0" memberValueDatatype="5" unbalanced="0"/>
    <cacheHierarchy uniqueName="[Datos1].[Donaciones (Gasto)]" caption="Donaciones (Gasto)" attribute="1" defaultMemberUniqueName="[Datos1].[Donaciones (Gasto)].[All]" allUniqueName="[Datos1].[Donaciones (Gasto)].[All]" dimensionUniqueName="[Datos1]" displayFolder="" count="0" memberValueDatatype="5" unbalanced="0"/>
    <cacheHierarchy uniqueName="[Datos1].[Prestaciones Sociales]" caption="Prestaciones Sociales" attribute="1" defaultMemberUniqueName="[Datos1].[Prestaciones Sociales].[All]" allUniqueName="[Datos1].[Prestaciones Sociales].[All]" dimensionUniqueName="[Datos1]" displayFolder="" count="0" memberValueDatatype="5" unbalanced="0"/>
    <cacheHierarchy uniqueName="[Datos1].[Otros Gastos]" caption="Otros Gastos" attribute="1" defaultMemberUniqueName="[Datos1].[Otros Gastos].[All]" allUniqueName="[Datos1].[Otros Gastos].[All]" dimensionUniqueName="[Datos1]" displayFolder="" count="0" memberValueDatatype="5" unbalanced="0"/>
    <cacheHierarchy uniqueName="[Datos1].[Resultado Operativo Neto]" caption="Resultado Operativo Neto" attribute="1" defaultMemberUniqueName="[Datos1].[Resultado Operativo Neto].[All]" allUniqueName="[Datos1].[Resultado Operativo Neto].[All]" dimensionUniqueName="[Datos1]" displayFolder="" count="0" memberValueDatatype="5" unbalanced="0"/>
    <cacheHierarchy uniqueName="[Datos1].[RON acumulado por año]" caption="RON acumulado por año" attribute="1" defaultMemberUniqueName="[Datos1].[RON acumulado por año].[All]" allUniqueName="[Datos1].[RON acumulado por año].[All]" dimensionUniqueName="[Datos1]" displayFolder="" count="0" memberValueDatatype="5" unbalanced="0"/>
    <cacheHierarchy uniqueName="[Datos1].[RON acumulado 12 meses]" caption="RON acumulado 12 meses" attribute="1" defaultMemberUniqueName="[Datos1].[RON acumulado 12 meses].[All]" allUniqueName="[Datos1].[RON acumulado 12 meses].[All]" dimensionUniqueName="[Datos1]" displayFolder="" count="0" memberValueDatatype="5" unbalanced="0"/>
    <cacheHierarchy uniqueName="[Datos1].[% Var interanual RON]" caption="% Var interanual RON" attribute="1" defaultMemberUniqueName="[Datos1].[% Var interanual RON].[All]" allUniqueName="[Datos1].[% Var interanual RON].[All]" dimensionUniqueName="[Datos1]" displayFolder="" count="0" memberValueDatatype="5" unbalanced="0"/>
    <cacheHierarchy uniqueName="[Datos1].[% Var acumulado RON]" caption="% Var acumulado RON" attribute="1" defaultMemberUniqueName="[Datos1].[% Var acumulado RON].[All]" allUniqueName="[Datos1].[% Var acumulado RON].[All]" dimensionUniqueName="[Datos1]" displayFolder="" count="0" memberValueDatatype="5" unbalanced="0"/>
    <cacheHierarchy uniqueName="[Datos1].[% Var anualizado]" caption="% Var anualizado" attribute="1" defaultMemberUniqueName="[Datos1].[% Var anualizado].[All]" allUniqueName="[Datos1].[% Var anualizado].[All]" dimensionUniqueName="[Datos1]" displayFolder="" count="0" memberValueDatatype="5" unbalanced="0"/>
    <cacheHierarchy uniqueName="[Datos1].[RON (% del PIB)]" caption="RON (% del PIB)" attribute="1" defaultMemberUniqueName="[Datos1].[RON (% del PIB)].[All]" allUniqueName="[Datos1].[RON (% del PIB)].[All]" dimensionUniqueName="[Datos1]" displayFolder="" count="0" memberValueDatatype="5" unbalanced="0"/>
    <cacheHierarchy uniqueName="[Datos1].[RON anualizado (% del PIB)]" caption="RON anualizado (% del PIB)" attribute="1" defaultMemberUniqueName="[Datos1].[RON anualizado (% del PIB)].[All]" allUniqueName="[Datos1].[RON anualizado (% del PIB)].[All]" dimensionUniqueName="[Datos1]" displayFolder="" count="0" memberValueDatatype="5" unbalanced="0"/>
    <cacheHierarchy uniqueName="[Datos1].[Adquisición Neta de Activos no Financieros]" caption="Adquisición Neta de Activos no Financieros" attribute="1" defaultMemberUniqueName="[Datos1].[Adquisición Neta de Activos no Financieros].[All]" allUniqueName="[Datos1].[Adquisición Neta de Activos no Financieros].[All]" dimensionUniqueName="[Datos1]" displayFolder="" count="0" memberValueDatatype="5" unbalanced="0"/>
    <cacheHierarchy uniqueName="[Datos1].[ANANF acumulado por año]" caption="ANANF acumulado por año" attribute="1" defaultMemberUniqueName="[Datos1].[ANANF acumulado por año].[All]" allUniqueName="[Datos1].[ANANF acumulado por año].[All]" dimensionUniqueName="[Datos1]" displayFolder="" count="0" memberValueDatatype="5" unbalanced="0"/>
    <cacheHierarchy uniqueName="[Datos1].[ANANF acumulado 12 meses]" caption="ANANF acumulado 12 meses" attribute="1" defaultMemberUniqueName="[Datos1].[ANANF acumulado 12 meses].[All]" allUniqueName="[Datos1].[ANANF acumulado 12 meses].[All]" dimensionUniqueName="[Datos1]" displayFolder="" count="0" memberValueDatatype="5" unbalanced="0"/>
    <cacheHierarchy uniqueName="[Datos1].[% Var interanual ANANF]" caption="% Var interanual ANANF" attribute="1" defaultMemberUniqueName="[Datos1].[% Var interanual ANANF].[All]" allUniqueName="[Datos1].[% Var interanual ANANF].[All]" dimensionUniqueName="[Datos1]" displayFolder="" count="0" memberValueDatatype="5" unbalanced="0"/>
    <cacheHierarchy uniqueName="[Datos1].[% Var acumulado por año ANANF]" caption="% Var acumulado por año ANANF" attribute="1" defaultMemberUniqueName="[Datos1].[% Var acumulado por año ANANF].[All]" allUniqueName="[Datos1].[% Var acumulado por año ANANF].[All]" dimensionUniqueName="[Datos1]" displayFolder="" count="0" memberValueDatatype="5" unbalanced="0"/>
    <cacheHierarchy uniqueName="[Datos1].[% Var anualizado ANANF]" caption="% Var anualizado ANANF" attribute="1" defaultMemberUniqueName="[Datos1].[% Var anualizado ANANF].[All]" allUniqueName="[Datos1].[% Var anualizado ANANF].[All]" dimensionUniqueName="[Datos1]" displayFolder="" count="0" memberValueDatatype="5" unbalanced="0"/>
    <cacheHierarchy uniqueName="[Datos1].[ANANF (mm US$)]" caption="ANANF (mm US$)" attribute="1" defaultMemberUniqueName="[Datos1].[ANANF (mm US$)].[All]" allUniqueName="[Datos1].[ANANF (mm US$)].[All]" dimensionUniqueName="[Datos1]" displayFolder="" count="0" memberValueDatatype="5" unbalanced="0"/>
    <cacheHierarchy uniqueName="[Datos1].[ANANF (% del PIB)]" caption="ANANF (% del PIB)" attribute="1" defaultMemberUniqueName="[Datos1].[ANANF (% del PIB)].[All]" allUniqueName="[Datos1].[ANANF (% del PIB)].[All]" dimensionUniqueName="[Datos1]" displayFolder="" count="0" memberValueDatatype="5" unbalanced="0"/>
    <cacheHierarchy uniqueName="[Datos1].[ANANF acum. Por año (% del PIB)]" caption="ANANF acum. Por año (% del PIB)" attribute="1" defaultMemberUniqueName="[Datos1].[ANANF acum. Por año (% del PIB)].[All]" allUniqueName="[Datos1].[ANANF acum. Por año (% del PIB)].[All]" dimensionUniqueName="[Datos1]" displayFolder="" count="0" memberValueDatatype="5" unbalanced="0"/>
    <cacheHierarchy uniqueName="[Datos1].[ANANF anualizado (% del PIB)]" caption="ANANF anualizado (% del PIB)" attribute="1" defaultMemberUniqueName="[Datos1].[ANANF anualizado (% del PIB)].[All]" allUniqueName="[Datos1].[ANANF anualizado (% del PIB)].[All]" dimensionUniqueName="[Datos1]" displayFolder="" count="0" memberValueDatatype="5" unbalanced="0"/>
    <cacheHierarchy uniqueName="[Datos1].[MOPC]" caption="MOPC" attribute="1" defaultMemberUniqueName="[Datos1].[MOPC].[All]" allUniqueName="[Datos1].[MOPC].[All]" dimensionUniqueName="[Datos1]" displayFolder="" count="0" memberValueDatatype="5" unbalanced="0"/>
    <cacheHierarchy uniqueName="[Datos1].[MOPC (mm US$)]" caption="MOPC (mm US$)" attribute="1" defaultMemberUniqueName="[Datos1].[MOPC (mm US$)].[All]" allUniqueName="[Datos1].[MOPC (mm US$)].[All]" dimensionUniqueName="[Datos1]" displayFolder="" count="0" memberValueDatatype="5" unbalanced="0"/>
    <cacheHierarchy uniqueName="[Datos1].[Otras entidades]" caption="Otras entidades" attribute="1" defaultMemberUniqueName="[Datos1].[Otras entidades].[All]" allUniqueName="[Datos1].[Otras entidades].[All]" dimensionUniqueName="[Datos1]" displayFolder="" count="0" memberValueDatatype="5" unbalanced="0"/>
    <cacheHierarchy uniqueName="[Datos1].[Otras entidades (mm US$)]" caption="Otras entidades (mm US$)" attribute="1" defaultMemberUniqueName="[Datos1].[Otras entidades (mm US$)].[All]" allUniqueName="[Datos1].[Otras entidades (mm US$)].[All]" dimensionUniqueName="[Datos1]" displayFolder="" count="0" memberValueDatatype="5" unbalanced="0"/>
    <cacheHierarchy uniqueName="[Datos1].[Resultado Fiscal (miles de millones de G.)]" caption="Resultado Fiscal (miles de millones de G.)" attribute="1" defaultMemberUniqueName="[Datos1].[Resultado Fiscal (miles de millones de G.)].[All]" allUniqueName="[Datos1].[Resultado Fiscal (miles de millones de G.)].[All]" dimensionUniqueName="[Datos1]" displayFolder="" count="0" memberValueDatatype="5" unbalanced="0"/>
    <cacheHierarchy uniqueName="[Datos1].[Resultado Fiscal acumulado por año]" caption="Resultado Fiscal acumulado por año" attribute="1" defaultMemberUniqueName="[Datos1].[Resultado Fiscal acumulado por año].[All]" allUniqueName="[Datos1].[Resultado Fiscal acumulado por año].[All]" dimensionUniqueName="[Datos1]" displayFolder="" count="0" memberValueDatatype="5" unbalanced="0"/>
    <cacheHierarchy uniqueName="[Datos1].[Resultado fiscal anualizado]" caption="Resultado fiscal anualizado" attribute="1" defaultMemberUniqueName="[Datos1].[Resultado fiscal anualizado].[All]" allUniqueName="[Datos1].[Resultado fiscal anualizado].[All]" dimensionUniqueName="[Datos1]" displayFolder="" count="0" memberValueDatatype="5" unbalanced="0"/>
    <cacheHierarchy uniqueName="[Datos1].[Resultado Fiscal (millones de US$)]" caption="Resultado Fiscal (millones de US$)" attribute="1" defaultMemberUniqueName="[Datos1].[Resultado Fiscal (millones de US$)].[All]" allUniqueName="[Datos1].[Resultado Fiscal (millones de US$)].[All]" dimensionUniqueName="[Datos1]" displayFolder="" count="0" memberValueDatatype="5" unbalanced="0"/>
    <cacheHierarchy uniqueName="[Datos1].[Resultado Fiscal anualizado (millones de US$)]" caption="Resultado Fiscal anualizado (millones de US$)" attribute="1" defaultMemberUniqueName="[Datos1].[Resultado Fiscal anualizado (millones de US$)].[All]" allUniqueName="[Datos1].[Resultado Fiscal anualizado (millones de US$)].[All]" dimensionUniqueName="[Datos1]" displayFolder="" count="0" memberValueDatatype="5" unbalanced="0"/>
    <cacheHierarchy uniqueName="[Datos1].[% Var interanual Resultado Fiscal]" caption="% Var interanual Resultado Fiscal" attribute="1" defaultMemberUniqueName="[Datos1].[% Var interanual Resultado Fiscal].[All]" allUniqueName="[Datos1].[% Var interanual Resultado Fiscal].[All]" dimensionUniqueName="[Datos1]" displayFolder="" count="0" memberValueDatatype="5" unbalanced="0"/>
    <cacheHierarchy uniqueName="[Datos1].[% Var acumulado Resultado Fiscal]" caption="% Var acumulado Resultado Fiscal" attribute="1" defaultMemberUniqueName="[Datos1].[% Var acumulado Resultado Fiscal].[All]" allUniqueName="[Datos1].[% Var acumulado Resultado Fiscal].[All]" dimensionUniqueName="[Datos1]" displayFolder="" count="0" memberValueDatatype="5" unbalanced="0"/>
    <cacheHierarchy uniqueName="[Datos1].[% Var anualizado Resultado Fiscal]" caption="% Var anualizado Resultado Fiscal" attribute="1" defaultMemberUniqueName="[Datos1].[% Var anualizado Resultado Fiscal].[All]" allUniqueName="[Datos1].[% Var anualizado Resultado Fiscal].[All]" dimensionUniqueName="[Datos1]" displayFolder="" count="0" memberValueDatatype="5" unbalanced="0"/>
    <cacheHierarchy uniqueName="[Datos1].[Resultado Fiscal (% del PIB)]" caption="Resultado Fiscal (% del PIB)" attribute="1" defaultMemberUniqueName="[Datos1].[Resultado Fiscal (% del PIB)].[All]" allUniqueName="[Datos1].[Resultado Fiscal (% del PIB)].[All]" dimensionUniqueName="[Datos1]" displayFolder="" count="0" memberValueDatatype="5" unbalanced="0"/>
    <cacheHierarchy uniqueName="[Datos1].[Resultado fiscal anualizado (% del PIB)]" caption="Resultado fiscal anualizado (% del PIB)" attribute="1" defaultMemberUniqueName="[Datos1].[Resultado fiscal anualizado (% del PIB)].[All]" allUniqueName="[Datos1].[Resultado fiscal anualizado (% del PIB)].[All]" dimensionUniqueName="[Datos1]" displayFolder="" count="0" memberValueDatatype="5" unbalanced="0"/>
    <cacheHierarchy uniqueName="[Datos1].[SSPP financiados con Ingresos Tributarios]" caption="SSPP financiados con Ingresos Tributarios" attribute="1" defaultMemberUniqueName="[Datos1].[SSPP financiados con Ingresos Tributarios].[All]" allUniqueName="[Datos1].[SSPP financiados con Ingresos Tributarios].[All]" dimensionUniqueName="[Datos1]" displayFolder="" count="0" memberValueDatatype="5" unbalanced="0"/>
    <cacheHierarchy uniqueName="[Datos1].[Binacionales]" caption="Binacionales" attribute="1" defaultMemberUniqueName="[Datos1].[Binacionales].[All]" allUniqueName="[Datos1].[Binacionales].[All]" dimensionUniqueName="[Datos1]" displayFolder="" count="0" memberValueDatatype="5" unbalanced="0"/>
    <cacheHierarchy uniqueName="[Datos1].[Resultado fiscal primario]" caption="Resultado fiscal primario" attribute="1" defaultMemberUniqueName="[Datos1].[Resultado fiscal primario].[All]" allUniqueName="[Datos1].[Resultado fiscal primario].[All]" dimensionUniqueName="[Datos1]" displayFolder="" count="0" memberValueDatatype="5" unbalanced="0"/>
    <cacheHierarchy uniqueName="[Datos1].[Resultado fiscal primario (% del PIB)]" caption="Resultado fiscal primario (% del PIB)" attribute="1" defaultMemberUniqueName="[Datos1].[Resultado fiscal primario (% del PIB)].[All]" allUniqueName="[Datos1].[Resultado fiscal primario (% del PIB)].[All]" dimensionUniqueName="[Datos1]" displayFolder="" count="0" memberValueDatatype="5" unbalanced="0"/>
    <cacheHierarchy uniqueName="[Datos1].[Salarios Ley de Emergencia]" caption="Salarios Ley de Emergencia" attribute="1" defaultMemberUniqueName="[Datos1].[Salarios Ley de Emergencia].[All]" allUniqueName="[Datos1].[Salarios Ley de Emergencia].[All]" dimensionUniqueName="[Datos1]" displayFolder="" count="0" memberValueDatatype="5" unbalanced="0"/>
    <cacheHierarchy uniqueName="[Datos1].[FFPP]" caption="FFPP" attribute="1" defaultMemberUniqueName="[Datos1].[FFPP].[All]" allUniqueName="[Datos1].[FFPP].[All]" dimensionUniqueName="[Datos1]" displayFolder="" count="0" memberValueDatatype="5" unbalanced="0"/>
    <cacheHierarchy uniqueName="[Datos1].[MEC]" caption="MEC" attribute="1" defaultMemberUniqueName="[Datos1].[MEC].[All]" allUniqueName="[Datos1].[MEC].[All]" dimensionUniqueName="[Datos1]" displayFolder="" count="0" memberValueDatatype="5" unbalanced="0"/>
    <cacheHierarchy uniqueName="[Datos1].[MSPBS]" caption="MSPBS" attribute="1" defaultMemberUniqueName="[Datos1].[MSPBS].[All]" allUniqueName="[Datos1].[MSPBS].[All]" dimensionUniqueName="[Datos1]" displayFolder="" count="0" memberValueDatatype="5" unbalanced="0"/>
    <cacheHierarchy uniqueName="[Datos1].[Hospital de Clínicas]" caption="Hospital de Clínicas" attribute="1" defaultMemberUniqueName="[Datos1].[Hospital de Clínicas].[All]" allUniqueName="[Datos1].[Hospital de Clínicas].[All]" dimensionUniqueName="[Datos1]" displayFolder="" count="0" memberValueDatatype="5" unbalanced="0"/>
    <cacheHierarchy uniqueName="[Datos1].[Resultado Operativo Primario]" caption="Resultado Operativo Primario" attribute="1" defaultMemberUniqueName="[Datos1].[Resultado Operativo Primario].[All]" allUniqueName="[Datos1].[Resultado Operativo Primario].[All]" dimensionUniqueName="[Datos1]" displayFolder="" count="0" memberValueDatatype="5" unbalanced="0"/>
    <cacheHierarchy uniqueName="[Datos1].[RON Primario (% del PIB)]" caption="RON Primario (% del PIB)" attribute="1" defaultMemberUniqueName="[Datos1].[RON Primario (% del PIB)].[All]" allUniqueName="[Datos1].[RON Primario (% del PIB)].[All]" dimensionUniqueName="[Datos1]" displayFolder="" count="0" memberValueDatatype="5" unbalanced="0"/>
    <cacheHierarchy uniqueName="[Datos1].[Gasto+Inversión]" caption="Gasto+Inversión" attribute="1" defaultMemberUniqueName="[Datos1].[Gasto+Inversión].[All]" allUniqueName="[Datos1].[Gasto+Inversión].[All]" dimensionUniqueName="[Datos1]" displayFolder="" count="0" memberValueDatatype="5" unbalanced="0"/>
    <cacheHierarchy uniqueName="[Datos1].[Gasto+Inversión (% PIB)]" caption="Gasto+Inversión (% PIB)" attribute="1" defaultMemberUniqueName="[Datos1].[Gasto+Inversión (% PIB)].[All]" allUniqueName="[Datos1].[Gasto+Inversión (% PIB)].[All]" dimensionUniqueName="[Datos1]" displayFolder="" count="0" memberValueDatatype="5" unbalanced="0"/>
    <cacheHierarchy uniqueName="[Datos1].[MH]" caption="MH" attribute="1" defaultMemberUniqueName="[Datos1].[MH].[All]" allUniqueName="[Datos1].[MH].[All]" dimensionUniqueName="[Datos1]" displayFolder="" count="0" memberValueDatatype="5" unbalanced="0"/>
    <cacheHierarchy uniqueName="[Datos1].[MJ]" caption="MJ" attribute="1" defaultMemberUniqueName="[Datos1].[MJ].[All]" allUniqueName="[Datos1].[MJ].[All]" dimensionUniqueName="[Datos1]" displayFolder="" count="0" memberValueDatatype="5" unbalanced="0"/>
    <cacheHierarchy uniqueName="[Datos1].[MTESS]" caption="MTESS" attribute="1" defaultMemberUniqueName="[Datos1].[MTESS].[All]" allUniqueName="[Datos1].[MTESS].[All]" dimensionUniqueName="[Datos1]" displayFolder="" count="0" memberValueDatatype="5" unbalanced="0"/>
    <cacheHierarchy uniqueName="[Meses].[Nro.]" caption="Nro." attribute="1" defaultMemberUniqueName="[Meses].[Nro.].[All]" allUniqueName="[Meses].[Nro.].[All]" dimensionUniqueName="[Meses]" displayFolder="" count="0" memberValueDatatype="20" unbalanced="0"/>
    <cacheHierarchy uniqueName="[Meses].[Mes]" caption="Mes" attribute="1" defaultMemberUniqueName="[Meses].[Mes].[All]" allUniqueName="[Meses].[Mes].[All]" dimensionUniqueName="[Meses]" displayFolder="" count="0" memberValueDatatype="130" unbalanced="0"/>
    <cacheHierarchy uniqueName="[Measures].[Ingreso total]" caption="Ingreso total" measure="1" displayFolder="" measureGroup="Datos1" count="0"/>
    <cacheHierarchy uniqueName="[Measures].[Ingreso periodo anterior]" caption="Ingreso periodo anterior" measure="1" displayFolder="" measureGroup="Datos1" count="0"/>
    <cacheHierarchy uniqueName="[Measures].[Resto]" caption="Resto" measure="1" displayFolder="" measureGroup="Datos1" count="0"/>
    <cacheHierarchy uniqueName="[Measures].[SSPP/Ingresos Tribuarios]" caption="SSPP/Ingresos Tribuarios" measure="1" displayFolder="" measureGroup="Datos1" count="0"/>
    <cacheHierarchy uniqueName="[Measures].[% Var ingreso total]" caption="% Var ingreso total" measure="1" displayFolder="" measureGroup="Datos1" count="0"/>
    <cacheHierarchy uniqueName="[Measures].[__XL_Count Datos1]" caption="__XL_Count Datos1" measure="1" displayFolder="" measureGroup="Datos1" count="0" hidden="1"/>
    <cacheHierarchy uniqueName="[Measures].[__XL_Count Calendario]" caption="__XL_Count Calendario" measure="1" displayFolder="" measureGroup="Calendario" count="0" hidden="1"/>
    <cacheHierarchy uniqueName="[Measures].[__XL_Count Tabla2]" caption="__XL_Count Tabla2" measure="1" displayFolder="" measureGroup="Meses" count="0" hidden="1"/>
    <cacheHierarchy uniqueName="[Measures].[__No hay medidas definidas]" caption="__No hay medidas definidas" measure="1" displayFolder="" count="0" hidden="1"/>
    <cacheHierarchy uniqueName="[Measures].[Suma de Ingreso Total (Recaudado)]" caption="Suma de Ingreso Total (Recaudado)" measure="1" displayFolder="" measureGroup="Datos1" count="0" hidden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Suma de Ingresos Tributarios]" caption="Suma de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Suma de Binacionales]" caption="Suma de Binacionales" measure="1" displayFolder="" measureGroup="Datos1" count="0" hidden="1">
      <extLst>
        <ext xmlns:x15="http://schemas.microsoft.com/office/spreadsheetml/2010/11/main" uri="{B97F6D7D-B522-45F9-BDA1-12C45D357490}">
          <x15:cacheHierarchy aggregatedColumn="104"/>
        </ext>
      </extLst>
    </cacheHierarchy>
    <cacheHierarchy uniqueName="[Measures].[Suma de Presión Tributaria]" caption="Suma de Presión Tributaria" measure="1" displayFolder="" measureGroup="Datos1" count="0" hidden="1">
      <extLst>
        <ext xmlns:x15="http://schemas.microsoft.com/office/spreadsheetml/2010/11/main" uri="{B97F6D7D-B522-45F9-BDA1-12C45D357490}">
          <x15:cacheHierarchy aggregatedColumn="22"/>
        </ext>
      </extLst>
    </cacheHierarchy>
    <cacheHierarchy uniqueName="[Measures].[Suma de SET]" caption="Suma de SET" measure="1" displayFolder="" measureGroup="Datos1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uma de DNA]" caption="Suma de DNA" measure="1" displayFolder="" measureGroup="Datos1" count="0" hidden="1">
      <extLst>
        <ext xmlns:x15="http://schemas.microsoft.com/office/spreadsheetml/2010/11/main" uri="{B97F6D7D-B522-45F9-BDA1-12C45D357490}">
          <x15:cacheHierarchy aggregatedColumn="32"/>
        </ext>
      </extLst>
    </cacheHierarchy>
    <cacheHierarchy uniqueName="[Measures].[Suma de % Var. Anualizado SET]" caption="Suma de % Var. Anualizado SET" measure="1" displayFolder="" measureGroup="Datos1" count="0" hidden="1">
      <extLst>
        <ext xmlns:x15="http://schemas.microsoft.com/office/spreadsheetml/2010/11/main" uri="{B97F6D7D-B522-45F9-BDA1-12C45D357490}">
          <x15:cacheHierarchy aggregatedColumn="30"/>
        </ext>
      </extLst>
    </cacheHierarchy>
    <cacheHierarchy uniqueName="[Measures].[Suma de % Var. Anualizado DNA]" caption="Suma de % Var. Anualizado DNA" measure="1" displayFolder="" measureGroup="Datos1" count="0" hidden="1">
      <extLst>
        <ext xmlns:x15="http://schemas.microsoft.com/office/spreadsheetml/2010/11/main" uri="{B97F6D7D-B522-45F9-BDA1-12C45D357490}">
          <x15:cacheHierarchy aggregatedColumn="34"/>
        </ext>
      </extLst>
    </cacheHierarchy>
    <cacheHierarchy uniqueName="[Measures].[Suma de Itaipú (millones de US$)]" caption="Suma de Itaipú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Suma de Yacyretá (en millones de US$)]" caption="Suma de Yacyretá (en 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a de Gasto Total (Obligado)]" caption="Suma de Gasto Total (Obligado)" measure="1" displayFolder="" measureGroup="Datos1" count="0" hidden="1">
      <extLst>
        <ext xmlns:x15="http://schemas.microsoft.com/office/spreadsheetml/2010/11/main" uri="{B97F6D7D-B522-45F9-BDA1-12C45D357490}">
          <x15:cacheHierarchy aggregatedColumn="49"/>
        </ext>
      </extLst>
    </cacheHierarchy>
    <cacheHierarchy uniqueName="[Measures].[Suma de Remuneración a los Empleados]" caption="Suma de Remuneración a los Empleados" measure="1" displayFolder="" measureGroup="Datos1" count="0" hidden="1">
      <extLst>
        <ext xmlns:x15="http://schemas.microsoft.com/office/spreadsheetml/2010/11/main" uri="{B97F6D7D-B522-45F9-BDA1-12C45D357490}">
          <x15:cacheHierarchy aggregatedColumn="56"/>
        </ext>
      </extLst>
    </cacheHierarchy>
    <cacheHierarchy uniqueName="[Measures].[Suma de Uso de Bienes y Servicios]" caption="Suma de Uso de Bienes y Servicios" measure="1" displayFolder="" measureGroup="Datos1" count="0" hidden="1">
      <extLst>
        <ext xmlns:x15="http://schemas.microsoft.com/office/spreadsheetml/2010/11/main" uri="{B97F6D7D-B522-45F9-BDA1-12C45D357490}">
          <x15:cacheHierarchy aggregatedColumn="64"/>
        </ext>
      </extLst>
    </cacheHierarchy>
    <cacheHierarchy uniqueName="[Measures].[Suma de Intereses]" caption="Suma de Intereses" measure="1" displayFolder="" measureGroup="Datos1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a de Donaciones (Gasto)]" caption="Suma de Donaciones (Gasto)" measure="1" displayFolder="" measureGroup="Datos1" count="0" hidden="1">
      <extLst>
        <ext xmlns:x15="http://schemas.microsoft.com/office/spreadsheetml/2010/11/main" uri="{B97F6D7D-B522-45F9-BDA1-12C45D357490}">
          <x15:cacheHierarchy aggregatedColumn="68"/>
        </ext>
      </extLst>
    </cacheHierarchy>
    <cacheHierarchy uniqueName="[Measures].[Suma de Prestaciones Sociales]" caption="Suma de Presta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69"/>
        </ext>
      </extLst>
    </cacheHierarchy>
    <cacheHierarchy uniqueName="[Measures].[Suma de Otros Gastos]" caption="Suma de Otros Gastos" measure="1" displayFolder="" measureGroup="Datos1" count="0" hidden="1">
      <extLst>
        <ext xmlns:x15="http://schemas.microsoft.com/office/spreadsheetml/2010/11/main" uri="{B97F6D7D-B522-45F9-BDA1-12C45D357490}">
          <x15:cacheHierarchy aggregatedColumn="70"/>
        </ext>
      </extLst>
    </cacheHierarchy>
    <cacheHierarchy uniqueName="[Measures].[Suma de RON (% del PIB)]" caption="Suma de RON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Suma de MOPC (mm US$)]" caption="Suma de MOPC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0"/>
        </ext>
      </extLst>
    </cacheHierarchy>
    <cacheHierarchy uniqueName="[Measures].[Suma de Otras entidades (mm US$)]" caption="Suma de Otras entidades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Suma de ANANF (mm US$)]" caption="Suma de ANANF (mm US$)" measure="1" displayFolder="" measureGroup="Datos1" count="0" hidden="1">
      <extLst>
        <ext xmlns:x15="http://schemas.microsoft.com/office/spreadsheetml/2010/11/main" uri="{B97F6D7D-B522-45F9-BDA1-12C45D357490}">
          <x15:cacheHierarchy aggregatedColumn="85"/>
        </ext>
      </extLst>
    </cacheHierarchy>
    <cacheHierarchy uniqueName="[Measures].[Suma de Resultado Fiscal (% del PIB)]" caption="Suma de Resultado Fisc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1"/>
        </ext>
      </extLst>
    </cacheHierarchy>
    <cacheHierarchy uniqueName="[Measures].[Suma de SSPP financiados con Ingresos Tributarios]" caption="Suma de SSPP financiados con Ingresos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103"/>
        </ext>
      </extLst>
    </cacheHierarchy>
    <cacheHierarchy uniqueName="[Measures].[Suma de Resultado fiscal primario (% del PIB)]" caption="Suma de Resultado fiscal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6"/>
        </ext>
      </extLst>
    </cacheHierarchy>
    <cacheHierarchy uniqueName="[Measures].[Suma de RON anualizado (% del PIB)]" caption="Suma de RON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Suma de ANANF anualizado (% del PIB)]" caption="Suma de ANANF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uma de Resultado fiscal anualizado (% del PIB)]" caption="Suma de Resultado fiscal anualizad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Suma de ANANF (% del PIB)]" caption="Suma de ANANF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86"/>
        </ext>
      </extLst>
    </cacheHierarchy>
    <cacheHierarchy uniqueName="[Measures].[Suma de IT Suma 12 meses]" caption="Suma de I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Suma de Tributarios suma 12 meses]" caption="Suma de Tributarios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4"/>
        </ext>
      </extLst>
    </cacheHierarchy>
    <cacheHierarchy uniqueName="[Measures].[Suma de SET suma 12 meses]" caption="Suma de SET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29"/>
        </ext>
      </extLst>
    </cacheHierarchy>
    <cacheHierarchy uniqueName="[Measures].[Suma de DNA suma 12 meses]" caption="Suma de DNA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33"/>
        </ext>
      </extLst>
    </cacheHierarchy>
    <cacheHierarchy uniqueName="[Measures].[Suma de Gasto Total suma 12 meses]" caption="Suma de Gasto Total suma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a de RON acumulado 12 meses]" caption="Suma de RON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73"/>
        </ext>
      </extLst>
    </cacheHierarchy>
    <cacheHierarchy uniqueName="[Measures].[Suma de ANANF acumulado 12 meses]" caption="Suma de ANANF acumulado 12 meses" measure="1" displayFolder="" measureGroup="Datos1" count="0" hidden="1">
      <extLst>
        <ext xmlns:x15="http://schemas.microsoft.com/office/spreadsheetml/2010/11/main" uri="{B97F6D7D-B522-45F9-BDA1-12C45D357490}">
          <x15:cacheHierarchy aggregatedColumn="81"/>
        </ext>
      </extLst>
    </cacheHierarchy>
    <cacheHierarchy uniqueName="[Measures].[Suma de Resultado fiscal anualizado]" caption="Suma de Resultado fiscal anualizado" measure="1" displayFolder="" measureGroup="Datos1" count="0" hidden="1">
      <extLst>
        <ext xmlns:x15="http://schemas.microsoft.com/office/spreadsheetml/2010/11/main" uri="{B97F6D7D-B522-45F9-BDA1-12C45D357490}">
          <x15:cacheHierarchy aggregatedColumn="95"/>
        </ext>
      </extLst>
    </cacheHierarchy>
    <cacheHierarchy uniqueName="[Measures].[Suma de % Var interanual]" caption="Suma de % Var interanual" measure="1" displayFolder="" measureGroup="Datos1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uma de % Var. Interanual Tributarios]" caption="Suma de % Var. Interanual Tributarios" measure="1" displayFolder="" measureGroup="Datos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% Var. Interanual Remun.]" caption="Suma de % Var. Interanual Remun." measure="1" displayFolder="" measureGroup="Datos1" count="0" hidden="1">
      <extLst>
        <ext xmlns:x15="http://schemas.microsoft.com/office/spreadsheetml/2010/11/main" uri="{B97F6D7D-B522-45F9-BDA1-12C45D357490}">
          <x15:cacheHierarchy aggregatedColumn="59"/>
        </ext>
      </extLst>
    </cacheHierarchy>
    <cacheHierarchy uniqueName="[Measures].[Suma de % Var. Acumulado Remun.]" caption="Suma de % Var. Acumulado Remun." measure="1" displayFolder="" measureGroup="Datos1" count="0" hidden="1">
      <extLst>
        <ext xmlns:x15="http://schemas.microsoft.com/office/spreadsheetml/2010/11/main" uri="{B97F6D7D-B522-45F9-BDA1-12C45D357490}">
          <x15:cacheHierarchy aggregatedColumn="60"/>
        </ext>
      </extLst>
    </cacheHierarchy>
    <cacheHierarchy uniqueName="[Measures].[Suma de Sueldos]" caption="Suma de Sueldos" measure="1" displayFolder="" measureGroup="Datos1" count="0" hidden="1">
      <extLst>
        <ext xmlns:x15="http://schemas.microsoft.com/office/spreadsheetml/2010/11/main" uri="{B97F6D7D-B522-45F9-BDA1-12C45D357490}">
          <x15:cacheHierarchy aggregatedColumn="62"/>
        </ext>
      </extLst>
    </cacheHierarchy>
    <cacheHierarchy uniqueName="[Measures].[Suma de Otras remuneraciones]" caption="Suma de Otras remuneraciones" measure="1" displayFolder="" measureGroup="Datos1" count="0" hidden="1">
      <extLst>
        <ext xmlns:x15="http://schemas.microsoft.com/office/spreadsheetml/2010/11/main" uri="{B97F6D7D-B522-45F9-BDA1-12C45D357490}">
          <x15:cacheHierarchy aggregatedColumn="63"/>
        </ext>
      </extLst>
    </cacheHierarchy>
    <cacheHierarchy uniqueName="[Measures].[Suma de Salarios Ley de Emergencia]" caption="Suma de Salarios Ley de Emergencia" measure="1" displayFolder="" measureGroup="Datos1" count="0" hidden="1">
      <extLst>
        <ext xmlns:x15="http://schemas.microsoft.com/office/spreadsheetml/2010/11/main" uri="{B97F6D7D-B522-45F9-BDA1-12C45D357490}">
          <x15:cacheHierarchy aggregatedColumn="107"/>
        </ext>
      </extLst>
    </cacheHierarchy>
    <cacheHierarchy uniqueName="[Measures].[Suma de FFPP]" caption="Suma de FFPP" measure="1" displayFolder="" measureGroup="Datos1" count="0" hidden="1">
      <extLst>
        <ext xmlns:x15="http://schemas.microsoft.com/office/spreadsheetml/2010/11/main" uri="{B97F6D7D-B522-45F9-BDA1-12C45D357490}">
          <x15:cacheHierarchy aggregatedColumn="108"/>
        </ext>
      </extLst>
    </cacheHierarchy>
    <cacheHierarchy uniqueName="[Measures].[Suma de MEC]" caption="Suma de MEC" measure="1" displayFolder="" measureGroup="Datos1" count="0" hidden="1">
      <extLst>
        <ext xmlns:x15="http://schemas.microsoft.com/office/spreadsheetml/2010/11/main" uri="{B97F6D7D-B522-45F9-BDA1-12C45D357490}">
          <x15:cacheHierarchy aggregatedColumn="109"/>
        </ext>
      </extLst>
    </cacheHierarchy>
    <cacheHierarchy uniqueName="[Measures].[Suma de MSPBS]" caption="Suma de MSPBS" measure="1" displayFolder="" measureGroup="Datos1" count="0" hidden="1">
      <extLst>
        <ext xmlns:x15="http://schemas.microsoft.com/office/spreadsheetml/2010/11/main" uri="{B97F6D7D-B522-45F9-BDA1-12C45D357490}">
          <x15:cacheHierarchy aggregatedColumn="110"/>
        </ext>
      </extLst>
    </cacheHierarchy>
    <cacheHierarchy uniqueName="[Measures].[Suma de Hospital de Clínicas]" caption="Suma de Hospital de Clínicas" measure="1" displayFolder="" measureGroup="Datos1" count="0" hidden="1">
      <extLst>
        <ext xmlns:x15="http://schemas.microsoft.com/office/spreadsheetml/2010/11/main" uri="{B97F6D7D-B522-45F9-BDA1-12C45D357490}">
          <x15:cacheHierarchy aggregatedColumn="111"/>
        </ext>
      </extLst>
    </cacheHierarchy>
    <cacheHierarchy uniqueName="[Measures].[Suma de % Var interanual ANANF]" caption="Suma de % Var interanual ANANF" measure="1" displayFolder="" measureGroup="Datos1" count="0" hidden="1">
      <extLst>
        <ext xmlns:x15="http://schemas.microsoft.com/office/spreadsheetml/2010/11/main" uri="{B97F6D7D-B522-45F9-BDA1-12C45D357490}">
          <x15:cacheHierarchy aggregatedColumn="82"/>
        </ext>
      </extLst>
    </cacheHierarchy>
    <cacheHierarchy uniqueName="[Measures].[Suma de Ingreso Total (% del PIB)]" caption="Suma de Ingres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a de Gasto Total (% del PIB)]" caption="Suma de Gasto Total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50"/>
        </ext>
      </extLst>
    </cacheHierarchy>
    <cacheHierarchy uniqueName="[Measures].[Suma de RON Primario (% del PIB)]" caption="Suma de RON Primario (% del PIB)" measure="1" displayFolder="" measureGroup="Datos1" count="0" hidden="1">
      <extLst>
        <ext xmlns:x15="http://schemas.microsoft.com/office/spreadsheetml/2010/11/main" uri="{B97F6D7D-B522-45F9-BDA1-12C45D357490}">
          <x15:cacheHierarchy aggregatedColumn="113"/>
        </ext>
      </extLst>
    </cacheHierarchy>
    <cacheHierarchy uniqueName="[Measures].[Suma de Gasto+Inversión (% PIB)]" caption="Suma de Gasto+Inversión (% PIB)" measure="1" displayFolder="" measureGroup="Datos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uma de % Var. Interanual SET]" caption="Suma de % Var. Interanual SET" measure="1" displayFolder="" measureGroup="Datos1" count="0" hidden="1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Suma de % Var. Interanual DNA]" caption="Suma de % Var. Interanual DNA" measure="1" displayFolder="" measureGroup="Datos1" count="0" hidden="1">
      <extLst>
        <ext xmlns:x15="http://schemas.microsoft.com/office/spreadsheetml/2010/11/main" uri="{B97F6D7D-B522-45F9-BDA1-12C45D357490}">
          <x15:cacheHierarchy aggregatedColumn="35"/>
        </ext>
      </extLst>
    </cacheHierarchy>
    <cacheHierarchy uniqueName="[Measures].[Suma de Resultado Fiscal (millones de US$)]" caption="Suma de Resultado Fiscal (millones de US$)" measure="1" displayFolder="" measureGroup="Datos1" count="0" hidden="1">
      <extLst>
        <ext xmlns:x15="http://schemas.microsoft.com/office/spreadsheetml/2010/11/main" uri="{B97F6D7D-B522-45F9-BDA1-12C45D357490}">
          <x15:cacheHierarchy aggregatedColumn="96"/>
        </ext>
      </extLst>
    </cacheHierarchy>
    <cacheHierarchy uniqueName="[Measures].[Suma de Contribuciones Sociales]" caption="Suma de Contribuciones Sociales" measure="1" displayFolder="" measureGroup="Datos1" count="0" hidden="1">
      <extLst>
        <ext xmlns:x15="http://schemas.microsoft.com/office/spreadsheetml/2010/11/main" uri="{B97F6D7D-B522-45F9-BDA1-12C45D357490}">
          <x15:cacheHierarchy aggregatedColumn="36"/>
        </ext>
      </extLst>
    </cacheHierarchy>
    <cacheHierarchy uniqueName="[Measures].[Suma de Donaciones]" caption="Suma de Donaciones" measure="1" displayFolder="" measureGroup="Datos1" count="0" hidden="1">
      <extLst>
        <ext xmlns:x15="http://schemas.microsoft.com/office/spreadsheetml/2010/11/main" uri="{B97F6D7D-B522-45F9-BDA1-12C45D357490}">
          <x15:cacheHierarchy aggregatedColumn="38"/>
        </ext>
      </extLst>
    </cacheHierarchy>
    <cacheHierarchy uniqueName="[Measures].[Suma de Otros Ingresos]" caption="Suma de Otros Ingresos" measure="1" displayFolder="" measureGroup="Datos1" count="0" hidden="1">
      <extLst>
        <ext xmlns:x15="http://schemas.microsoft.com/office/spreadsheetml/2010/11/main" uri="{B97F6D7D-B522-45F9-BDA1-12C45D357490}">
          <x15:cacheHierarchy aggregatedColumn="40"/>
        </ext>
      </extLst>
    </cacheHierarchy>
    <cacheHierarchy uniqueName="[Measures].[Suma de Adquisición Neta de Activos no Financieros]" caption="Suma de Adquisición Neta de Activos no Financieros" measure="1" displayFolder="" measureGroup="Datos1" count="0" hidden="1">
      <extLst>
        <ext xmlns:x15="http://schemas.microsoft.com/office/spreadsheetml/2010/11/main" uri="{B97F6D7D-B522-45F9-BDA1-12C45D357490}">
          <x15:cacheHierarchy aggregatedColumn="79"/>
        </ext>
      </extLst>
    </cacheHierarchy>
    <cacheHierarchy uniqueName="[Measures].[Suma de MOPC]" caption="Suma de MOPC" measure="1" displayFolder="" measureGroup="Datos1" count="0" hidden="1">
      <extLst>
        <ext xmlns:x15="http://schemas.microsoft.com/office/spreadsheetml/2010/11/main" uri="{B97F6D7D-B522-45F9-BDA1-12C45D357490}">
          <x15:cacheHierarchy aggregatedColumn="89"/>
        </ext>
      </extLst>
    </cacheHierarchy>
    <cacheHierarchy uniqueName="[Measures].[Suma de MH]" caption="Suma de MH" measure="1" displayFolder="" measureGroup="Datos1" count="0" hidden="1">
      <extLst>
        <ext xmlns:x15="http://schemas.microsoft.com/office/spreadsheetml/2010/11/main" uri="{B97F6D7D-B522-45F9-BDA1-12C45D357490}">
          <x15:cacheHierarchy aggregatedColumn="116"/>
        </ext>
      </extLst>
    </cacheHierarchy>
    <cacheHierarchy uniqueName="[Measures].[Suma de MJ]" caption="Suma de MJ" measure="1" displayFolder="" measureGroup="Datos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uma de MTESS]" caption="Suma de MTESS" measure="1" displayFolder="" measureGroup="Datos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4023665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Resultado USD" cacheId="5" applyNumberFormats="0" applyBorderFormats="0" applyFontFormats="0" applyPatternFormats="0" applyAlignmentFormats="0" applyWidthHeightFormats="1" dataCaption="Valores" tag="5820121c-8d0b-4d4e-829d-3cf24e1f790e" updatedVersion="6" minRefreshableVersion="3" useAutoFormatting="1" rowGrandTotals="0" colGrandTotals="0" itemPrintTitles="1" createdVersion="6" indent="0" outline="1" outlineData="1" multipleFieldFilters="0">
  <location ref="B4:C7" firstHeaderRow="1" firstDataRow="1" firstDataCol="1" rowPageCount="1" colPageCount="1"/>
  <pivotFields count="3"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">
    <i>
      <x/>
    </i>
    <i>
      <x v="1"/>
    </i>
    <i>
      <x v="2"/>
    </i>
  </rowItems>
  <colItems count="1">
    <i/>
  </colItems>
  <pageFields count="1">
    <pageField fld="1" hier="4" name="[Calendario].[Mes].&amp;[enero]" cap="enero"/>
  </pageFields>
  <dataFields count="1">
    <dataField name="Resultado Fiscal (millones de US$) " fld="2" baseField="0" baseItem="0" numFmtId="166"/>
  </dataFields>
  <pivotHierarchies count="193">
    <pivotHierarchy dragToData="1"/>
    <pivotHierarchy dragToData="1"/>
    <pivotHierarchy dragToData="1"/>
    <pivotHierarchy/>
    <pivotHierarchy multipleItemSelectionAllowed="1" dragToData="1">
      <members count="8" level="1">
        <member name="[Calendario].[Mes].&amp;[abril]"/>
        <member name="[Calendario].[Mes].&amp;[agosto]"/>
        <member name="[Calendario].[Mes].&amp;[enero]"/>
        <member name="[Calendario].[Mes].&amp;[febrero]"/>
        <member name="[Calendario].[Mes].&amp;[julio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millones de US$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Datos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Inversión_acum" cacheId="2" applyNumberFormats="0" applyBorderFormats="0" applyFontFormats="0" applyPatternFormats="0" applyAlignmentFormats="0" applyWidthHeightFormats="1" dataCaption="Valores" tag="a03899b9-2139-4d28-a1e2-35b82b78bcfd" updatedVersion="6" minRefreshableVersion="3" useAutoFormatting="1" rowGrandTotals="0" colGrandTotals="0" itemPrintTitles="1" createdVersion="6" indent="0" outline="1" outlineData="1" multipleFieldFilters="0">
  <location ref="B44:G47" firstHeaderRow="0" firstDataRow="1" firstDataCol="1" rowPageCount="1" colPageCount="1"/>
  <pivotFields count="7"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3">
    <i>
      <x/>
    </i>
    <i>
      <x v="1"/>
    </i>
    <i>
      <x v="2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hier="4" name="[Calendario].[Mes].&amp;[enero]" cap="enero"/>
  </pageFields>
  <dataFields count="5">
    <dataField name="Inversión (G.) " fld="2" baseField="0" baseItem="0" numFmtId="166"/>
    <dataField name="Inversión (USD) " fld="3" baseField="0" baseItem="2" numFmtId="3"/>
    <dataField name="Inversión (% del PIB) " fld="4" baseField="0" baseItem="0" numFmtId="166"/>
    <dataField name="MOPC (USD) " fld="5" baseField="0" baseItem="1" numFmtId="3"/>
    <dataField name="Otras Ent (USD) " fld="6" baseField="0" baseItem="2" numFmtId="3"/>
  </dataFields>
  <pivotHierarchies count="193">
    <pivotHierarchy dragToData="1"/>
    <pivotHierarchy dragToData="1"/>
    <pivotHierarchy dragToData="1"/>
    <pivotHierarchy/>
    <pivotHierarchy multipleItemSelectionAllowed="1" dragToData="1">
      <members count="8" level="1">
        <member name="[Calendario].[Mes].&amp;[abril]"/>
        <member name="[Calendario].[Mes].&amp;[agosto]"/>
        <member name="[Calendario].[Mes].&amp;[enero]"/>
        <member name="[Calendario].[Mes].&amp;[febrero]"/>
        <member name="[Calendario].[Mes].&amp;[julio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MOPC (USD) "/>
    <pivotHierarchy dragToData="1" caption="Otras Ent (USD) "/>
    <pivotHierarchy dragToData="1" caption="Inversión (USD) "/>
    <pivotHierarchy dragToData="1" caption="Resultado Fiscal (% del PIB) "/>
    <pivotHierarchy dragToData="1"/>
    <pivotHierarchy dragToData="1"/>
    <pivotHierarchy dragToData="1"/>
    <pivotHierarchy dragToData="1"/>
    <pivotHierarchy dragToData="1"/>
    <pivotHierarchy dragToData="1" caption="Inversión (% del PIB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millones de US$) "/>
    <pivotHierarchy dragToData="1"/>
    <pivotHierarchy dragToData="1"/>
    <pivotHierarchy dragToData="1"/>
    <pivotHierarchy dragToData="1" caption="Inversión (G.) 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Datos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Gasto_total" cacheId="0" applyNumberFormats="0" applyBorderFormats="0" applyFontFormats="0" applyPatternFormats="0" applyAlignmentFormats="0" applyWidthHeightFormats="1" dataCaption="Valores" tag="3c110010-472b-4644-bfbf-baafeb04e033" updatedVersion="6" minRefreshableVersion="3" useAutoFormatting="1" rowGrandTotals="0" colGrandTotals="0" itemPrintTitles="1" createdVersion="6" indent="0" outline="1" outlineData="1" multipleFieldFilters="0">
  <location ref="B34:I37" firstHeaderRow="0" firstDataRow="1" firstDataCol="1" rowPageCount="1" colPageCount="1"/>
  <pivotFields count="9"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3">
    <i>
      <x/>
    </i>
    <i>
      <x v="1"/>
    </i>
    <i>
      <x v="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" hier="4" name="[Calendario].[Mes].&amp;[enero]" cap="enero"/>
  </pageFields>
  <dataFields count="7">
    <dataField name="Gasto Total " fld="2" baseField="0" baseItem="0" numFmtId="166"/>
    <dataField name="Remun. " fld="3" baseField="0" baseItem="0" numFmtId="166"/>
    <dataField name="Uso de ByS " fld="4" baseField="0" baseItem="2" numFmtId="166"/>
    <dataField name="Intereses " fld="6" baseField="0" baseItem="0" numFmtId="166"/>
    <dataField name="Donaciones " fld="5" baseField="0" baseItem="0" numFmtId="166"/>
    <dataField name="P. Sociales " fld="7" baseField="0" baseItem="0" numFmtId="166"/>
    <dataField name="Otros Gtos. " fld="8" baseField="0" baseItem="0" numFmtId="166"/>
  </dataFields>
  <pivotHierarchies count="193">
    <pivotHierarchy dragToData="1"/>
    <pivotHierarchy dragToData="1"/>
    <pivotHierarchy dragToData="1"/>
    <pivotHierarchy/>
    <pivotHierarchy multipleItemSelectionAllowed="1" dragToData="1">
      <members count="8" level="1">
        <member name="[Calendario].[Mes].&amp;[abril]"/>
        <member name="[Calendario].[Mes].&amp;[agosto]"/>
        <member name="[Calendario].[Mes].&amp;[enero]"/>
        <member name="[Calendario].[Mes].&amp;[febrero]"/>
        <member name="[Calendario].[Mes].&amp;[julio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Gasto Total "/>
    <pivotHierarchy dragToData="1" caption="Remun. "/>
    <pivotHierarchy dragToData="1" caption="Uso de ByS "/>
    <pivotHierarchy dragToData="1" caption="Intereses "/>
    <pivotHierarchy dragToData="1" caption="Donaciones "/>
    <pivotHierarchy dragToData="1" caption="P. Sociales "/>
    <pivotHierarchy dragToData="1" caption="Otros Gtos. "/>
    <pivotHierarchy dragToData="1"/>
    <pivotHierarchy dragToData="1"/>
    <pivotHierarchy dragToData="1"/>
    <pivotHierarchy dragToData="1"/>
    <pivotHierarchy dragToData="1" caption="Resultado Fiscal (% del PIB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millones de US$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Datos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Ingreso_acum" cacheId="1" applyNumberFormats="0" applyBorderFormats="0" applyFontFormats="0" applyPatternFormats="0" applyAlignmentFormats="0" applyWidthHeightFormats="1" dataCaption="Valores" tag="7f522255-0efd-4962-b8d8-1721053c50c6" updatedVersion="6" minRefreshableVersion="3" useAutoFormatting="1" rowGrandTotals="0" colGrandTotals="0" itemPrintTitles="1" createdVersion="6" indent="0" outline="1" outlineData="1" multipleFieldFilters="0">
  <location ref="B24:I27" firstHeaderRow="0" firstDataRow="1" firstDataCol="1" rowPageCount="1" colPageCount="1"/>
  <pivotFields count="9"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3">
    <i>
      <x/>
    </i>
    <i>
      <x v="1"/>
    </i>
    <i>
      <x v="2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1" hier="4" name="[Calendario].[Mes].&amp;[enero]" cap="enero"/>
  </pageFields>
  <dataFields count="7">
    <dataField name="Ingreso Total " fld="2" baseField="0" baseItem="0" numFmtId="166"/>
    <dataField name="Ingresos Tributarios " fld="3" baseField="0" baseItem="0" numFmtId="166"/>
    <dataField name="SET " fld="4" baseField="0" baseItem="0" numFmtId="166"/>
    <dataField name="DNA " fld="5" baseField="0" baseItem="0" numFmtId="166"/>
    <dataField name="Contrib. Sociales " fld="6" baseField="0" baseItem="0" numFmtId="166"/>
    <dataField name="Donaciones " fld="7" baseField="0" baseItem="0" numFmtId="166"/>
    <dataField name="Otros Ingresos " fld="8" baseField="0" baseItem="0" numFmtId="166"/>
  </dataFields>
  <pivotHierarchies count="193">
    <pivotHierarchy dragToData="1"/>
    <pivotHierarchy dragToData="1"/>
    <pivotHierarchy dragToData="1"/>
    <pivotHierarchy/>
    <pivotHierarchy multipleItemSelectionAllowed="1" dragToData="1">
      <members count="8" level="1">
        <member name="[Calendario].[Mes].&amp;[abril]"/>
        <member name="[Calendario].[Mes].&amp;[agosto]"/>
        <member name="[Calendario].[Mes].&amp;[enero]"/>
        <member name="[Calendario].[Mes].&amp;[febrero]"/>
        <member name="[Calendario].[Mes].&amp;[julio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Ingreso Total "/>
    <pivotHierarchy dragToData="1" caption="Ingresos Tributarios "/>
    <pivotHierarchy dragToData="1"/>
    <pivotHierarchy dragToData="1"/>
    <pivotHierarchy dragToData="1" caption="SET "/>
    <pivotHierarchy dragToData="1" caption="DNA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% del PIB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millones de US$) "/>
    <pivotHierarchy dragToData="1" caption="Contrib. Sociales "/>
    <pivotHierarchy dragToData="1" caption="Donaciones "/>
    <pivotHierarchy dragToData="1" caption="Otros Ingresos 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Datos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Result anualizado" cacheId="3" applyNumberFormats="0" applyBorderFormats="0" applyFontFormats="0" applyPatternFormats="0" applyAlignmentFormats="0" applyWidthHeightFormats="1" dataCaption="Valores" tag="f7802a70-d9ad-47c0-b97f-1d3d15fcc6de" updatedVersion="6" minRefreshableVersion="3" useAutoFormatting="1" rowGrandTotals="0" colGrandTotals="0" itemPrintTitles="1" createdVersion="6" indent="0" compact="0" compactData="0" multipleFieldFilters="0">
  <location ref="K4:N28" firstHeaderRow="0" firstDataRow="1" firstDataCol="2" rowPageCount="1" colPageCount="1"/>
  <pivotFields count="5">
    <pivotField axis="axisRow" compact="0" allDrilled="1" outline="0" showAll="0" dataSourceSort="1" defaultSubtotal="0" defaultAttributeDrillState="1">
      <items count="3">
        <item s="1" x="0"/>
        <item s="1" x="1"/>
        <item s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Subtotal="0" defaultAttributeDrillState="1">
      <items count="6">
        <item s="1" x="0"/>
        <item s="1" x="1"/>
        <item s="1" x="2"/>
        <item s="1" x="3"/>
        <item s="1" x="4"/>
        <item s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descending" defaultSubtotal="0" defaultAttributeDrillState="1">
      <items count="8"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3"/>
  </rowFields>
  <rowItems count="2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</rowItems>
  <colFields count="1">
    <field x="-2"/>
  </colFields>
  <colItems count="2">
    <i>
      <x/>
    </i>
    <i i="1">
      <x v="1"/>
    </i>
  </colItems>
  <pageFields count="1">
    <pageField fld="1" hier="4" name="[Calendario].[Mes].&amp;[enero]" cap="enero"/>
  </pageFields>
  <dataFields count="2">
    <dataField name="Resultado anualizado (% PIB)" fld="2" baseField="1" baseItem="1" numFmtId="166"/>
    <dataField name="Inversión anualizada (% PIB) " fld="4" baseField="3" baseItem="0" numFmtId="166"/>
  </dataFields>
  <pivotHierarchies count="193">
    <pivotHierarchy dragToData="1"/>
    <pivotHierarchy dragToData="1"/>
    <pivotHierarchy dragToData="1"/>
    <pivotHierarchy/>
    <pivotHierarchy multipleItemSelectionAllowed="1" dragToData="1">
      <members count="8" level="1">
        <member name=""/>
        <member name="[Calendario].[Mes].&amp;[agosto]"/>
        <member name=""/>
        <member name=""/>
        <member name="[Calendario].[Mes].&amp;[julio]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Inversión anualizada (% PIB) "/>
    <pivotHierarchy dragToData="1" caption="Resultado anualizado (% PIB)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millones de US$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1"/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Datos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Result%PIB" cacheId="4" applyNumberFormats="0" applyBorderFormats="0" applyFontFormats="0" applyPatternFormats="0" applyAlignmentFormats="0" applyWidthHeightFormats="1" dataCaption="Valores" tag="076d44d1-77eb-4299-83c2-f7235479d0f7" updatedVersion="6" minRefreshableVersion="3" useAutoFormatting="1" rowGrandTotals="0" colGrandTotals="0" itemPrintTitles="1" createdVersion="6" indent="0" outline="1" outlineData="1" multipleFieldFilters="0">
  <location ref="B14:C17" firstHeaderRow="1" firstDataRow="1" firstDataCol="1" rowPageCount="1" colPageCount="1"/>
  <pivotFields count="3">
    <pivotField axis="axisRow" allDrilled="1" subtotalTop="0" showAll="0" dataSourceSort="1" defaultSubtotal="0" defaultAttributeDrillState="1">
      <items count="3">
        <item s="1" x="0"/>
        <item s="1" x="1"/>
        <item s="1" x="2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3">
    <i>
      <x/>
    </i>
    <i>
      <x v="1"/>
    </i>
    <i>
      <x v="2"/>
    </i>
  </rowItems>
  <colItems count="1">
    <i/>
  </colItems>
  <pageFields count="1">
    <pageField fld="1" hier="4" name="[Calendario].[Mes].&amp;[enero]" cap="enero"/>
  </pageFields>
  <dataFields count="1">
    <dataField name="Resultado Fiscal (% del PIB) " fld="2" baseField="0" baseItem="0" numFmtId="166"/>
  </dataFields>
  <pivotHierarchies count="193">
    <pivotHierarchy dragToData="1"/>
    <pivotHierarchy dragToData="1"/>
    <pivotHierarchy dragToData="1"/>
    <pivotHierarchy/>
    <pivotHierarchy multipleItemSelectionAllowed="1" dragToData="1">
      <members count="8" level="1">
        <member name="[Calendario].[Mes].&amp;[abril]"/>
        <member name="[Calendario].[Mes].&amp;[agosto]"/>
        <member name="[Calendario].[Mes].&amp;[enero]"/>
        <member name="[Calendario].[Mes].&amp;[febrero]"/>
        <member name="[Calendario].[Mes].&amp;[julio]"/>
        <member name="[Calendario].[Mes].&amp;[junio]"/>
        <member name="[Calendario].[Mes].&amp;[marzo]"/>
        <member name="[Calendario].[Mes].&amp;[may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% del PIB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Resultado Fiscal (millones de US$) 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io]"/>
        <x15:activeTabTopLevelEntity name="[Datos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[Calendario].[Mes]">
  <pivotTables>
    <pivotTable tabId="24" name="Gasto_total"/>
    <pivotTable tabId="24" name="Ingreso_acum"/>
    <pivotTable tabId="24" name="Inversión_acum"/>
    <pivotTable tabId="24" name="Result anualizado"/>
    <pivotTable tabId="24" name="Result%PIB"/>
    <pivotTable tabId="24" name="Resultado USD"/>
  </pivotTables>
  <data>
    <olap pivotCacheId="124023665">
      <levels count="2">
        <level uniqueName="[Calendario].[Mes].[(All)]" sourceCaption="(All)" count="0"/>
        <level uniqueName="[Calendario].[Mes].[Mes]" sourceCaption="Mes" count="12">
          <ranges>
            <range startItem="0">
              <i n="[Calendario].[Mes].&amp;[enero]" c="enero"/>
              <i n="[Calendario].[Mes].&amp;[febrero]" c="febrero"/>
              <i n="[Calendario].[Mes].&amp;[marzo]" c="marzo"/>
              <i n="[Calendario].[Mes].&amp;[abril]" c="abril"/>
              <i n="[Calendario].[Mes].&amp;[mayo]" c="mayo"/>
              <i n="[Calendario].[Mes].&amp;[junio]" c="junio"/>
              <i n="[Calendario].[Mes].&amp;[julio]" c="julio"/>
              <i n="[Calendario].[Mes].&amp;[agosto]" c="agosto"/>
              <i n="[Calendario].[Mes].&amp;[septiembre]" c="septiembre"/>
              <i n="[Calendario].[Mes].&amp;[octubre]" c="octubre"/>
              <i n="[Calendario].[Mes].&amp;[noviembre]" c="noviembre"/>
              <i n="[Calendario].[Mes].&amp;[diciembre]" c="diciembre"/>
            </range>
          </ranges>
        </level>
      </levels>
      <selections count="8">
        <selection n="[Calendario].[Mes].&amp;[abril]"/>
        <selection n="[Calendario].[Mes].&amp;[agosto]"/>
        <selection n="[Calendario].[Mes].&amp;[enero]"/>
        <selection n="[Calendario].[Mes].&amp;[febrero]"/>
        <selection n="[Calendario].[Mes].&amp;[julio]"/>
        <selection n="[Calendario].[Mes].&amp;[junio]"/>
        <selection n="[Calendario].[Mes].&amp;[marzo]"/>
        <selection n="[Calendario].[Mes].&amp;[mayo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1" cache="SegmentaciónDeDatos_Mes" caption="Mes" columnCount="6" level="1" style="SlicerStyleOther2" rowHeight="234950"/>
</slicers>
</file>

<file path=xl/tables/table1.xml><?xml version="1.0" encoding="utf-8"?>
<table xmlns="http://schemas.openxmlformats.org/spreadsheetml/2006/main" id="1" name="Datos1" displayName="Datos1" ref="A2:CZ214" totalsRowShown="0" headerRowDxfId="110" dataDxfId="109" dataCellStyle="Normal 3">
  <autoFilter ref="A2:CZ214"/>
  <tableColumns count="104">
    <tableColumn id="1" name="Orden"/>
    <tableColumn id="2" name="Periodo" dataDxfId="108" dataCellStyle="Normal 3"/>
    <tableColumn id="3" name="Mes" dataDxfId="107">
      <calculatedColumnFormula>VLOOKUP(MONTH(B3),Meses,2,0)</calculatedColumnFormula>
    </tableColumn>
    <tableColumn id="4" name="Año" dataDxfId="106">
      <calculatedColumnFormula>YEAR(B3)</calculatedColumnFormula>
    </tableColumn>
    <tableColumn id="5" name="PIB nominal (miles de millones de G.)" dataDxfId="105">
      <calculatedColumnFormula>VLOOKUP(D3,PIBNOMG,2,0)</calculatedColumnFormula>
    </tableColumn>
    <tableColumn id="6" name="Tipo de cambio Gs./US$" dataDxfId="104">
      <calculatedColumnFormula>VLOOKUP(D3,cambio,2,0)</calculatedColumnFormula>
    </tableColumn>
    <tableColumn id="7" name="Ingreso Total (Recaudado)" dataDxfId="103" dataCellStyle="Normal 3"/>
    <tableColumn id="8" name="Ingreso Total (% del PIB)" dataDxfId="102" dataCellStyle="Normal 3">
      <calculatedColumnFormula>G3/E3*100</calculatedColumnFormula>
    </tableColumn>
    <tableColumn id="25" name="IT acumulado por año" dataDxfId="101" dataCellStyle="Normal 3">
      <calculatedColumnFormula>SUMIFS($G$3:$G3,$D$3:$D3,D3)</calculatedColumnFormula>
    </tableColumn>
    <tableColumn id="9" name="IT Suma 12 meses" dataDxfId="100" dataCellStyle="Normal 3"/>
    <tableColumn id="20" name="% Var acum Ingreso total" dataDxfId="99" dataCellStyle="Normal 3"/>
    <tableColumn id="21" name="% Var interanual" dataDxfId="98" dataCellStyle="Normal 3"/>
    <tableColumn id="17" name="% Var suma 12 meses" dataDxfId="97" dataCellStyle="Normal 3"/>
    <tableColumn id="12" name="Ingresos Tributarios" dataDxfId="96" dataCellStyle="Normal 3"/>
    <tableColumn id="13" name="Presión Tributaria" dataDxfId="95" dataCellStyle="Normal 3">
      <calculatedColumnFormula>N3/E3*100</calculatedColumnFormula>
    </tableColumn>
    <tableColumn id="120" name="Tributarios Acum. Por año" dataDxfId="94" dataCellStyle="Normal 3">
      <calculatedColumnFormula>SUMIFS($N$3:$N3,$D$3:$D3,D3)</calculatedColumnFormula>
    </tableColumn>
    <tableColumn id="14" name="Tributarios suma 12 meses" dataDxfId="93" dataCellStyle="Normal 3"/>
    <tableColumn id="123" name="% Var. Interanual Tributarios" dataDxfId="92" dataCellStyle="Normal 3"/>
    <tableColumn id="122" name="% Var. Acum. Tributarios" dataDxfId="91" dataCellStyle="Normal 3"/>
    <tableColumn id="121" name="% Var. Suma 12m Tributarios" dataDxfId="90" dataCellStyle="Normal 3"/>
    <tableColumn id="18" name="SET" dataDxfId="89" dataCellStyle="Normal 3"/>
    <tableColumn id="19" name="SET suma 12 meses" dataDxfId="88" dataCellStyle="Normal 3"/>
    <tableColumn id="22" name="% Var. Anualizado SET" dataDxfId="87" dataCellStyle="Porcentaje"/>
    <tableColumn id="96" name="% Var. Interanual SET" dataDxfId="86" dataCellStyle="Porcentaje"/>
    <tableColumn id="23" name="DNA" dataDxfId="85" dataCellStyle="Normal 3"/>
    <tableColumn id="24" name="DNA suma 12 meses" dataDxfId="84" dataCellStyle="Normal 3"/>
    <tableColumn id="27" name="% Var. Anualizado DNA" dataDxfId="83" dataCellStyle="Porcentaje"/>
    <tableColumn id="97" name="% Var. Interanual DNA" dataDxfId="82" dataCellStyle="Porcentaje"/>
    <tableColumn id="28" name="Contribuciones Sociales" dataDxfId="81" dataCellStyle="Normal 3"/>
    <tableColumn id="29" name="Contribuciones Sociales (% del PIB)" dataDxfId="80" dataCellStyle="Normal 3">
      <calculatedColumnFormula>AC3/E3*100</calculatedColumnFormula>
    </tableColumn>
    <tableColumn id="33" name="Donaciones" dataDxfId="79" dataCellStyle="Normal 3"/>
    <tableColumn id="34" name="Donaciones (% del PIB)" dataDxfId="78" dataCellStyle="Normal 3">
      <calculatedColumnFormula>AE3/E3*100</calculatedColumnFormula>
    </tableColumn>
    <tableColumn id="41" name="Otros Ingresos" dataDxfId="77" dataCellStyle="Normal 3"/>
    <tableColumn id="42" name="Otros ingresos (millones de US$)" dataDxfId="76" dataCellStyle="Normal 3">
      <calculatedColumnFormula>AG3*1000/F3</calculatedColumnFormula>
    </tableColumn>
    <tableColumn id="43" name="Itaipú" dataDxfId="75" dataCellStyle="Normal 3"/>
    <tableColumn id="44" name="Itaipú (millones de US$)" dataDxfId="74" dataCellStyle="Normal 3">
      <calculatedColumnFormula>AI3*1000/$F$207</calculatedColumnFormula>
    </tableColumn>
    <tableColumn id="31" name="Itaipú acumulado por año (millones de US$)" dataDxfId="73" dataCellStyle="Normal 3">
      <calculatedColumnFormula>SUMIFS($AJ$3:$AJ3,$D$3:$D3,D3)</calculatedColumnFormula>
    </tableColumn>
    <tableColumn id="45" name="Yacyretá" dataDxfId="72" dataCellStyle="Normal 3"/>
    <tableColumn id="46" name="Yacyretá (en millones de US$)" dataDxfId="71" dataCellStyle="Normal 3">
      <calculatedColumnFormula>AL3*1000/$F$207</calculatedColumnFormula>
    </tableColumn>
    <tableColumn id="89" name="Yacyretá acumulado por año (millones de US$)" dataDxfId="70" dataCellStyle="Normal 3">
      <calculatedColumnFormula>SUMIFS($AM$3:$AM3,$D$3:$D3,D3)</calculatedColumnFormula>
    </tableColumn>
    <tableColumn id="47" name="Otros Ingr." dataDxfId="69" dataCellStyle="Normal 3">
      <calculatedColumnFormula>+AG3-AI3-AL3</calculatedColumnFormula>
    </tableColumn>
    <tableColumn id="48" name="Gasto Total (Obligado)" dataDxfId="68" dataCellStyle="Normal 3"/>
    <tableColumn id="49" name="Gasto Total (% del PIB)" dataDxfId="67" dataCellStyle="Normal 3">
      <calculatedColumnFormula>+AP3/E3*100</calculatedColumnFormula>
    </tableColumn>
    <tableColumn id="32" name="Gasto total acumulado por año" dataDxfId="66" dataCellStyle="Normal 3">
      <calculatedColumnFormula>SUMIFS($AP$3:$AP3,$D$3:$D3,D3)</calculatedColumnFormula>
    </tableColumn>
    <tableColumn id="50" name="Gasto Total suma 12 meses" dataDxfId="65" dataCellStyle="Normal 3"/>
    <tableColumn id="30" name="% Var interanual gasto total" dataDxfId="64" dataCellStyle="Normal 3"/>
    <tableColumn id="26" name="% Var acumulado gasto total" dataDxfId="63" dataCellStyle="Normal 3"/>
    <tableColumn id="53" name="% Var. Anualizado GT" dataDxfId="62" dataCellStyle="Normal 3"/>
    <tableColumn id="54" name="Remuneración a los Empleados" dataDxfId="61" dataCellStyle="Normal 3"/>
    <tableColumn id="114" name="Remun. Acum. Por año" dataDxfId="60" dataCellStyle="Normal 3">
      <calculatedColumnFormula>SUMIFS($AW$3:$AW3,$D$3:$D3,D3)</calculatedColumnFormula>
    </tableColumn>
    <tableColumn id="113" name="Remun. Suma 12 meses" dataDxfId="59" dataCellStyle="Normal 3"/>
    <tableColumn id="110" name="% Var. Interanual Remun." dataDxfId="58" dataCellStyle="Normal 3"/>
    <tableColumn id="112" name="% Var. Acumulado Remun." dataDxfId="57" dataCellStyle="Normal 3"/>
    <tableColumn id="111" name="% Var. Anualizado Remun." dataDxfId="56" dataCellStyle="Normal 3"/>
    <tableColumn id="55" name="Sueldos" dataDxfId="55" dataCellStyle="Normal 3"/>
    <tableColumn id="56" name="Otras remuneraciones" dataDxfId="54" dataCellStyle="Normal 3">
      <calculatedColumnFormula>+AW3-BC3</calculatedColumnFormula>
    </tableColumn>
    <tableColumn id="57" name="Uso de Bienes y Servicios" dataDxfId="53" dataCellStyle="Normal 3"/>
    <tableColumn id="62" name="Intereses" dataDxfId="52" dataCellStyle="Normal 3"/>
    <tableColumn id="63" name="Intereses (millones de US$)" dataDxfId="51" dataCellStyle="Normal 3">
      <calculatedColumnFormula>+BF3/$F$207*1000</calculatedColumnFormula>
    </tableColumn>
    <tableColumn id="95" name="Intereses (% del PIB)" dataDxfId="50" dataCellStyle="Normal 3">
      <calculatedColumnFormula>Datos1[[#This Row],[Intereses]]/Datos1[[#This Row],[PIB nominal (miles de millones de G.)]]*100</calculatedColumnFormula>
    </tableColumn>
    <tableColumn id="64" name="Donaciones (Gasto)" dataDxfId="49" dataCellStyle="Normal 3"/>
    <tableColumn id="67" name="Prestaciones Sociales" dataDxfId="48" dataCellStyle="Normal 3"/>
    <tableColumn id="68" name="Otros Gastos" dataDxfId="47" dataCellStyle="Normal 3"/>
    <tableColumn id="69" name="Resultado Operativo Neto" dataDxfId="46" dataCellStyle="Normal 3"/>
    <tableColumn id="35" name="RON acumulado por año" dataDxfId="45" dataCellStyle="Normal 3">
      <calculatedColumnFormula>SUMIFS($BL$3:$BL3,$D$3:$D3,D3)</calculatedColumnFormula>
    </tableColumn>
    <tableColumn id="11" name="RON acumulado 12 meses" dataDxfId="44" dataCellStyle="Normal 3"/>
    <tableColumn id="51" name="% Var interanual RON" dataDxfId="43" dataCellStyle="Normal 3"/>
    <tableColumn id="37" name="% Var acumulado RON" dataDxfId="42" dataCellStyle="Normal 3"/>
    <tableColumn id="36" name="% Var anualizado" dataDxfId="41" dataCellStyle="Normal 3"/>
    <tableColumn id="70" name="RON (% del PIB)" dataDxfId="40" dataCellStyle="Normal 3">
      <calculatedColumnFormula>BL3/E3*100</calculatedColumnFormula>
    </tableColumn>
    <tableColumn id="15" name="RON anualizado (% del PIB)" dataDxfId="39" dataCellStyle="Normal 3">
      <calculatedColumnFormula>+Datos1[[#This Row],[RON acumulado 12 meses]]/Datos1[[#This Row],[PIB nominal (miles de millones de G.)]]*100</calculatedColumnFormula>
    </tableColumn>
    <tableColumn id="71" name="Adquisición Neta de Activos no Financieros" dataDxfId="38" dataCellStyle="Normal 3"/>
    <tableColumn id="52" name="ANANF acumulado por año" dataDxfId="37" dataCellStyle="Normal 3">
      <calculatedColumnFormula>SUMIFS($BT$3:$BT3,$D$3:$D3,D3)</calculatedColumnFormula>
    </tableColumn>
    <tableColumn id="10" name="ANANF acumulado 12 meses" dataDxfId="36" dataCellStyle="Normal 3"/>
    <tableColumn id="84" name="% Var interanual ANANF" dataDxfId="35" dataCellStyle="Normal 3"/>
    <tableColumn id="83" name="% Var acumulado por año ANANF" dataDxfId="34" dataCellStyle="Normal 3"/>
    <tableColumn id="82" name="% Var anualizado ANANF" dataDxfId="33" dataCellStyle="Normal 3"/>
    <tableColumn id="72" name="ANANF (mm US$)" dataDxfId="32" dataCellStyle="Normal 3">
      <calculatedColumnFormula>BT3*1000/$F$207</calculatedColumnFormula>
    </tableColumn>
    <tableColumn id="108" name="ANANF (% del PIB)" dataDxfId="31" dataCellStyle="Normal 3">
      <calculatedColumnFormula>Datos1[[#This Row],[Adquisición Neta de Activos no Financieros]]/Datos1[[#This Row],[PIB nominal (miles de millones de G.)]]*100</calculatedColumnFormula>
    </tableColumn>
    <tableColumn id="109" name="ANANF acum. Por año (% del PIB)" dataDxfId="30" dataCellStyle="Normal 3">
      <calculatedColumnFormula>+Datos1[[#This Row],[ANANF acumulado por año]]/Datos1[[#This Row],[PIB nominal (miles de millones de G.)]]*100</calculatedColumnFormula>
    </tableColumn>
    <tableColumn id="16" name="ANANF anualizado (% del PIB)" dataDxfId="29" dataCellStyle="Normal 3">
      <calculatedColumnFormula>+Datos1[[#This Row],[ANANF acumulado 12 meses]]/Datos1[[#This Row],[PIB nominal (miles de millones de G.)]]*100</calculatedColumnFormula>
    </tableColumn>
    <tableColumn id="73" name="MOPC" dataDxfId="28" dataCellStyle="Normal 3"/>
    <tableColumn id="74" name="MOPC (mm US$)" dataDxfId="27" dataCellStyle="Normal 3">
      <calculatedColumnFormula>CD3*1000/$F$207</calculatedColumnFormula>
    </tableColumn>
    <tableColumn id="75" name="Otras entidades" dataDxfId="26" dataCellStyle="Normal 3">
      <calculatedColumnFormula>+BT3-CD3</calculatedColumnFormula>
    </tableColumn>
    <tableColumn id="76" name="Otras entidades (mm US$)" dataDxfId="25" dataCellStyle="Normal 3">
      <calculatedColumnFormula>CF3*1000/$F$207</calculatedColumnFormula>
    </tableColumn>
    <tableColumn id="77" name="Resultado Fiscal (miles de millones de G.)" dataDxfId="24" dataCellStyle="Normal 3">
      <calculatedColumnFormula>+BL3-BT3</calculatedColumnFormula>
    </tableColumn>
    <tableColumn id="85" name="Resultado Fiscal acumulado por año" dataDxfId="23" dataCellStyle="Normal 3">
      <calculatedColumnFormula>SUMIFS($CH$3:$CH3,$D$3:$D3,D3)</calculatedColumnFormula>
    </tableColumn>
    <tableColumn id="79" name="Resultado fiscal anualizado" dataDxfId="22" dataCellStyle="Normal 3"/>
    <tableColumn id="99" name="Resultado Fiscal (millones de US$)" dataDxfId="21" dataCellStyle="Normal 3">
      <calculatedColumnFormula>Datos1[[#This Row],[Resultado Fiscal (miles de millones de G.)]]*1000/$F$207</calculatedColumnFormula>
    </tableColumn>
    <tableColumn id="98" name="Resultado Fiscal anualizado (millones de US$)" dataDxfId="20" dataCellStyle="Normal 3"/>
    <tableColumn id="88" name="% Var interanual Resultado Fiscal" dataDxfId="19" dataCellStyle="Normal 3"/>
    <tableColumn id="87" name="% Var acumulado Resultado Fiscal" dataDxfId="18" dataCellStyle="Normal 3"/>
    <tableColumn id="86" name="% Var anualizado Resultado Fiscal" dataDxfId="17" dataCellStyle="Normal 3"/>
    <tableColumn id="78" name="Resultado Fiscal (% del PIB)" dataDxfId="16" dataCellStyle="Normal 3">
      <calculatedColumnFormula>+CH3/E3*100</calculatedColumnFormula>
    </tableColumn>
    <tableColumn id="80" name="Resultado fiscal anualizado (% del PIB)" dataDxfId="15" dataCellStyle="Normal 3">
      <calculatedColumnFormula>+CJ3/E3*100</calculatedColumnFormula>
    </tableColumn>
    <tableColumn id="81" name="SSPP financiados con Ingresos Tributarios" dataDxfId="14"/>
    <tableColumn id="90" name="Salarios Ley de Emergencia" dataDxfId="13" dataCellStyle="Normal 3">
      <calculatedColumnFormula>SUM(Datos1[[#This Row],[FFPP]:[MTESS]])</calculatedColumnFormula>
    </tableColumn>
    <tableColumn id="91" name="FFPP" dataDxfId="12" dataCellStyle="Normal 3"/>
    <tableColumn id="92" name="MEC" dataDxfId="11" dataCellStyle="Normal 3"/>
    <tableColumn id="93" name="MSPBS" dataDxfId="10" dataCellStyle="Normal 3"/>
    <tableColumn id="94" name="Hospital de Clínicas" dataDxfId="9" dataCellStyle="Normal 3"/>
    <tableColumn id="38" name="MH" dataDxfId="8" dataCellStyle="Normal 3"/>
    <tableColumn id="39" name="MJ" dataDxfId="7" dataCellStyle="Normal 3"/>
    <tableColumn id="40" name="MTESS" dataDxfId="6" dataCellStyle="Normal 3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2:B14" totalsRowShown="0" headerRowDxfId="5" headerRowBorderDxfId="4" tableBorderDxfId="3" totalsRowBorderDxfId="2">
  <autoFilter ref="A2:B14"/>
  <tableColumns count="2">
    <tableColumn id="1" name="Nro." dataDxfId="1"/>
    <tableColumn id="2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showGridLines="0" tabSelected="1" zoomScale="85" zoomScaleNormal="85" workbookViewId="0">
      <selection activeCell="K11" sqref="K11"/>
    </sheetView>
  </sheetViews>
  <sheetFormatPr baseColWidth="10" defaultColWidth="11.5703125" defaultRowHeight="14.25"/>
  <cols>
    <col min="1" max="1" width="20.7109375" style="148" customWidth="1"/>
    <col min="2" max="2" width="11.5703125" style="148"/>
    <col min="3" max="3" width="12.28515625" style="148" customWidth="1"/>
    <col min="4" max="4" width="12.7109375" style="148" customWidth="1"/>
    <col min="5" max="5" width="21.7109375" style="148" customWidth="1"/>
    <col min="6" max="6" width="11.5703125" style="148" customWidth="1"/>
    <col min="7" max="7" width="11.5703125" style="148"/>
    <col min="8" max="8" width="11.5703125" style="148" customWidth="1"/>
    <col min="9" max="9" width="2.7109375" style="148" customWidth="1"/>
    <col min="10" max="10" width="11.5703125" style="148" customWidth="1"/>
    <col min="11" max="256" width="11.5703125" style="148"/>
    <col min="257" max="257" width="20.7109375" style="148" customWidth="1"/>
    <col min="258" max="258" width="11.5703125" style="148"/>
    <col min="259" max="260" width="12.28515625" style="148" customWidth="1"/>
    <col min="261" max="261" width="21.7109375" style="148" customWidth="1"/>
    <col min="262" max="512" width="11.5703125" style="148"/>
    <col min="513" max="513" width="20.7109375" style="148" customWidth="1"/>
    <col min="514" max="514" width="11.5703125" style="148"/>
    <col min="515" max="516" width="12.28515625" style="148" customWidth="1"/>
    <col min="517" max="517" width="21.7109375" style="148" customWidth="1"/>
    <col min="518" max="768" width="11.5703125" style="148"/>
    <col min="769" max="769" width="20.7109375" style="148" customWidth="1"/>
    <col min="770" max="770" width="11.5703125" style="148"/>
    <col min="771" max="772" width="12.28515625" style="148" customWidth="1"/>
    <col min="773" max="773" width="21.7109375" style="148" customWidth="1"/>
    <col min="774" max="1024" width="11.5703125" style="148"/>
    <col min="1025" max="1025" width="20.7109375" style="148" customWidth="1"/>
    <col min="1026" max="1026" width="11.5703125" style="148"/>
    <col min="1027" max="1028" width="12.28515625" style="148" customWidth="1"/>
    <col min="1029" max="1029" width="21.7109375" style="148" customWidth="1"/>
    <col min="1030" max="1280" width="11.5703125" style="148"/>
    <col min="1281" max="1281" width="20.7109375" style="148" customWidth="1"/>
    <col min="1282" max="1282" width="11.5703125" style="148"/>
    <col min="1283" max="1284" width="12.28515625" style="148" customWidth="1"/>
    <col min="1285" max="1285" width="21.7109375" style="148" customWidth="1"/>
    <col min="1286" max="1536" width="11.5703125" style="148"/>
    <col min="1537" max="1537" width="20.7109375" style="148" customWidth="1"/>
    <col min="1538" max="1538" width="11.5703125" style="148"/>
    <col min="1539" max="1540" width="12.28515625" style="148" customWidth="1"/>
    <col min="1541" max="1541" width="21.7109375" style="148" customWidth="1"/>
    <col min="1542" max="1792" width="11.5703125" style="148"/>
    <col min="1793" max="1793" width="20.7109375" style="148" customWidth="1"/>
    <col min="1794" max="1794" width="11.5703125" style="148"/>
    <col min="1795" max="1796" width="12.28515625" style="148" customWidth="1"/>
    <col min="1797" max="1797" width="21.7109375" style="148" customWidth="1"/>
    <col min="1798" max="2048" width="11.5703125" style="148"/>
    <col min="2049" max="2049" width="20.7109375" style="148" customWidth="1"/>
    <col min="2050" max="2050" width="11.5703125" style="148"/>
    <col min="2051" max="2052" width="12.28515625" style="148" customWidth="1"/>
    <col min="2053" max="2053" width="21.7109375" style="148" customWidth="1"/>
    <col min="2054" max="2304" width="11.5703125" style="148"/>
    <col min="2305" max="2305" width="20.7109375" style="148" customWidth="1"/>
    <col min="2306" max="2306" width="11.5703125" style="148"/>
    <col min="2307" max="2308" width="12.28515625" style="148" customWidth="1"/>
    <col min="2309" max="2309" width="21.7109375" style="148" customWidth="1"/>
    <col min="2310" max="2560" width="11.5703125" style="148"/>
    <col min="2561" max="2561" width="20.7109375" style="148" customWidth="1"/>
    <col min="2562" max="2562" width="11.5703125" style="148"/>
    <col min="2563" max="2564" width="12.28515625" style="148" customWidth="1"/>
    <col min="2565" max="2565" width="21.7109375" style="148" customWidth="1"/>
    <col min="2566" max="2816" width="11.5703125" style="148"/>
    <col min="2817" max="2817" width="20.7109375" style="148" customWidth="1"/>
    <col min="2818" max="2818" width="11.5703125" style="148"/>
    <col min="2819" max="2820" width="12.28515625" style="148" customWidth="1"/>
    <col min="2821" max="2821" width="21.7109375" style="148" customWidth="1"/>
    <col min="2822" max="3072" width="11.5703125" style="148"/>
    <col min="3073" max="3073" width="20.7109375" style="148" customWidth="1"/>
    <col min="3074" max="3074" width="11.5703125" style="148"/>
    <col min="3075" max="3076" width="12.28515625" style="148" customWidth="1"/>
    <col min="3077" max="3077" width="21.7109375" style="148" customWidth="1"/>
    <col min="3078" max="3328" width="11.5703125" style="148"/>
    <col min="3329" max="3329" width="20.7109375" style="148" customWidth="1"/>
    <col min="3330" max="3330" width="11.5703125" style="148"/>
    <col min="3331" max="3332" width="12.28515625" style="148" customWidth="1"/>
    <col min="3333" max="3333" width="21.7109375" style="148" customWidth="1"/>
    <col min="3334" max="3584" width="11.5703125" style="148"/>
    <col min="3585" max="3585" width="20.7109375" style="148" customWidth="1"/>
    <col min="3586" max="3586" width="11.5703125" style="148"/>
    <col min="3587" max="3588" width="12.28515625" style="148" customWidth="1"/>
    <col min="3589" max="3589" width="21.7109375" style="148" customWidth="1"/>
    <col min="3590" max="3840" width="11.5703125" style="148"/>
    <col min="3841" max="3841" width="20.7109375" style="148" customWidth="1"/>
    <col min="3842" max="3842" width="11.5703125" style="148"/>
    <col min="3843" max="3844" width="12.28515625" style="148" customWidth="1"/>
    <col min="3845" max="3845" width="21.7109375" style="148" customWidth="1"/>
    <col min="3846" max="4096" width="11.5703125" style="148"/>
    <col min="4097" max="4097" width="20.7109375" style="148" customWidth="1"/>
    <col min="4098" max="4098" width="11.5703125" style="148"/>
    <col min="4099" max="4100" width="12.28515625" style="148" customWidth="1"/>
    <col min="4101" max="4101" width="21.7109375" style="148" customWidth="1"/>
    <col min="4102" max="4352" width="11.5703125" style="148"/>
    <col min="4353" max="4353" width="20.7109375" style="148" customWidth="1"/>
    <col min="4354" max="4354" width="11.5703125" style="148"/>
    <col min="4355" max="4356" width="12.28515625" style="148" customWidth="1"/>
    <col min="4357" max="4357" width="21.7109375" style="148" customWidth="1"/>
    <col min="4358" max="4608" width="11.5703125" style="148"/>
    <col min="4609" max="4609" width="20.7109375" style="148" customWidth="1"/>
    <col min="4610" max="4610" width="11.5703125" style="148"/>
    <col min="4611" max="4612" width="12.28515625" style="148" customWidth="1"/>
    <col min="4613" max="4613" width="21.7109375" style="148" customWidth="1"/>
    <col min="4614" max="4864" width="11.5703125" style="148"/>
    <col min="4865" max="4865" width="20.7109375" style="148" customWidth="1"/>
    <col min="4866" max="4866" width="11.5703125" style="148"/>
    <col min="4867" max="4868" width="12.28515625" style="148" customWidth="1"/>
    <col min="4869" max="4869" width="21.7109375" style="148" customWidth="1"/>
    <col min="4870" max="5120" width="11.5703125" style="148"/>
    <col min="5121" max="5121" width="20.7109375" style="148" customWidth="1"/>
    <col min="5122" max="5122" width="11.5703125" style="148"/>
    <col min="5123" max="5124" width="12.28515625" style="148" customWidth="1"/>
    <col min="5125" max="5125" width="21.7109375" style="148" customWidth="1"/>
    <col min="5126" max="5376" width="11.5703125" style="148"/>
    <col min="5377" max="5377" width="20.7109375" style="148" customWidth="1"/>
    <col min="5378" max="5378" width="11.5703125" style="148"/>
    <col min="5379" max="5380" width="12.28515625" style="148" customWidth="1"/>
    <col min="5381" max="5381" width="21.7109375" style="148" customWidth="1"/>
    <col min="5382" max="5632" width="11.5703125" style="148"/>
    <col min="5633" max="5633" width="20.7109375" style="148" customWidth="1"/>
    <col min="5634" max="5634" width="11.5703125" style="148"/>
    <col min="5635" max="5636" width="12.28515625" style="148" customWidth="1"/>
    <col min="5637" max="5637" width="21.7109375" style="148" customWidth="1"/>
    <col min="5638" max="5888" width="11.5703125" style="148"/>
    <col min="5889" max="5889" width="20.7109375" style="148" customWidth="1"/>
    <col min="5890" max="5890" width="11.5703125" style="148"/>
    <col min="5891" max="5892" width="12.28515625" style="148" customWidth="1"/>
    <col min="5893" max="5893" width="21.7109375" style="148" customWidth="1"/>
    <col min="5894" max="6144" width="11.5703125" style="148"/>
    <col min="6145" max="6145" width="20.7109375" style="148" customWidth="1"/>
    <col min="6146" max="6146" width="11.5703125" style="148"/>
    <col min="6147" max="6148" width="12.28515625" style="148" customWidth="1"/>
    <col min="6149" max="6149" width="21.7109375" style="148" customWidth="1"/>
    <col min="6150" max="6400" width="11.5703125" style="148"/>
    <col min="6401" max="6401" width="20.7109375" style="148" customWidth="1"/>
    <col min="6402" max="6402" width="11.5703125" style="148"/>
    <col min="6403" max="6404" width="12.28515625" style="148" customWidth="1"/>
    <col min="6405" max="6405" width="21.7109375" style="148" customWidth="1"/>
    <col min="6406" max="6656" width="11.5703125" style="148"/>
    <col min="6657" max="6657" width="20.7109375" style="148" customWidth="1"/>
    <col min="6658" max="6658" width="11.5703125" style="148"/>
    <col min="6659" max="6660" width="12.28515625" style="148" customWidth="1"/>
    <col min="6661" max="6661" width="21.7109375" style="148" customWidth="1"/>
    <col min="6662" max="6912" width="11.5703125" style="148"/>
    <col min="6913" max="6913" width="20.7109375" style="148" customWidth="1"/>
    <col min="6914" max="6914" width="11.5703125" style="148"/>
    <col min="6915" max="6916" width="12.28515625" style="148" customWidth="1"/>
    <col min="6917" max="6917" width="21.7109375" style="148" customWidth="1"/>
    <col min="6918" max="7168" width="11.5703125" style="148"/>
    <col min="7169" max="7169" width="20.7109375" style="148" customWidth="1"/>
    <col min="7170" max="7170" width="11.5703125" style="148"/>
    <col min="7171" max="7172" width="12.28515625" style="148" customWidth="1"/>
    <col min="7173" max="7173" width="21.7109375" style="148" customWidth="1"/>
    <col min="7174" max="7424" width="11.5703125" style="148"/>
    <col min="7425" max="7425" width="20.7109375" style="148" customWidth="1"/>
    <col min="7426" max="7426" width="11.5703125" style="148"/>
    <col min="7427" max="7428" width="12.28515625" style="148" customWidth="1"/>
    <col min="7429" max="7429" width="21.7109375" style="148" customWidth="1"/>
    <col min="7430" max="7680" width="11.5703125" style="148"/>
    <col min="7681" max="7681" width="20.7109375" style="148" customWidth="1"/>
    <col min="7682" max="7682" width="11.5703125" style="148"/>
    <col min="7683" max="7684" width="12.28515625" style="148" customWidth="1"/>
    <col min="7685" max="7685" width="21.7109375" style="148" customWidth="1"/>
    <col min="7686" max="7936" width="11.5703125" style="148"/>
    <col min="7937" max="7937" width="20.7109375" style="148" customWidth="1"/>
    <col min="7938" max="7938" width="11.5703125" style="148"/>
    <col min="7939" max="7940" width="12.28515625" style="148" customWidth="1"/>
    <col min="7941" max="7941" width="21.7109375" style="148" customWidth="1"/>
    <col min="7942" max="8192" width="11.5703125" style="148"/>
    <col min="8193" max="8193" width="20.7109375" style="148" customWidth="1"/>
    <col min="8194" max="8194" width="11.5703125" style="148"/>
    <col min="8195" max="8196" width="12.28515625" style="148" customWidth="1"/>
    <col min="8197" max="8197" width="21.7109375" style="148" customWidth="1"/>
    <col min="8198" max="8448" width="11.5703125" style="148"/>
    <col min="8449" max="8449" width="20.7109375" style="148" customWidth="1"/>
    <col min="8450" max="8450" width="11.5703125" style="148"/>
    <col min="8451" max="8452" width="12.28515625" style="148" customWidth="1"/>
    <col min="8453" max="8453" width="21.7109375" style="148" customWidth="1"/>
    <col min="8454" max="8704" width="11.5703125" style="148"/>
    <col min="8705" max="8705" width="20.7109375" style="148" customWidth="1"/>
    <col min="8706" max="8706" width="11.5703125" style="148"/>
    <col min="8707" max="8708" width="12.28515625" style="148" customWidth="1"/>
    <col min="8709" max="8709" width="21.7109375" style="148" customWidth="1"/>
    <col min="8710" max="8960" width="11.5703125" style="148"/>
    <col min="8961" max="8961" width="20.7109375" style="148" customWidth="1"/>
    <col min="8962" max="8962" width="11.5703125" style="148"/>
    <col min="8963" max="8964" width="12.28515625" style="148" customWidth="1"/>
    <col min="8965" max="8965" width="21.7109375" style="148" customWidth="1"/>
    <col min="8966" max="9216" width="11.5703125" style="148"/>
    <col min="9217" max="9217" width="20.7109375" style="148" customWidth="1"/>
    <col min="9218" max="9218" width="11.5703125" style="148"/>
    <col min="9219" max="9220" width="12.28515625" style="148" customWidth="1"/>
    <col min="9221" max="9221" width="21.7109375" style="148" customWidth="1"/>
    <col min="9222" max="9472" width="11.5703125" style="148"/>
    <col min="9473" max="9473" width="20.7109375" style="148" customWidth="1"/>
    <col min="9474" max="9474" width="11.5703125" style="148"/>
    <col min="9475" max="9476" width="12.28515625" style="148" customWidth="1"/>
    <col min="9477" max="9477" width="21.7109375" style="148" customWidth="1"/>
    <col min="9478" max="9728" width="11.5703125" style="148"/>
    <col min="9729" max="9729" width="20.7109375" style="148" customWidth="1"/>
    <col min="9730" max="9730" width="11.5703125" style="148"/>
    <col min="9731" max="9732" width="12.28515625" style="148" customWidth="1"/>
    <col min="9733" max="9733" width="21.7109375" style="148" customWidth="1"/>
    <col min="9734" max="9984" width="11.5703125" style="148"/>
    <col min="9985" max="9985" width="20.7109375" style="148" customWidth="1"/>
    <col min="9986" max="9986" width="11.5703125" style="148"/>
    <col min="9987" max="9988" width="12.28515625" style="148" customWidth="1"/>
    <col min="9989" max="9989" width="21.7109375" style="148" customWidth="1"/>
    <col min="9990" max="10240" width="11.5703125" style="148"/>
    <col min="10241" max="10241" width="20.7109375" style="148" customWidth="1"/>
    <col min="10242" max="10242" width="11.5703125" style="148"/>
    <col min="10243" max="10244" width="12.28515625" style="148" customWidth="1"/>
    <col min="10245" max="10245" width="21.7109375" style="148" customWidth="1"/>
    <col min="10246" max="10496" width="11.5703125" style="148"/>
    <col min="10497" max="10497" width="20.7109375" style="148" customWidth="1"/>
    <col min="10498" max="10498" width="11.5703125" style="148"/>
    <col min="10499" max="10500" width="12.28515625" style="148" customWidth="1"/>
    <col min="10501" max="10501" width="21.7109375" style="148" customWidth="1"/>
    <col min="10502" max="10752" width="11.5703125" style="148"/>
    <col min="10753" max="10753" width="20.7109375" style="148" customWidth="1"/>
    <col min="10754" max="10754" width="11.5703125" style="148"/>
    <col min="10755" max="10756" width="12.28515625" style="148" customWidth="1"/>
    <col min="10757" max="10757" width="21.7109375" style="148" customWidth="1"/>
    <col min="10758" max="11008" width="11.5703125" style="148"/>
    <col min="11009" max="11009" width="20.7109375" style="148" customWidth="1"/>
    <col min="11010" max="11010" width="11.5703125" style="148"/>
    <col min="11011" max="11012" width="12.28515625" style="148" customWidth="1"/>
    <col min="11013" max="11013" width="21.7109375" style="148" customWidth="1"/>
    <col min="11014" max="11264" width="11.5703125" style="148"/>
    <col min="11265" max="11265" width="20.7109375" style="148" customWidth="1"/>
    <col min="11266" max="11266" width="11.5703125" style="148"/>
    <col min="11267" max="11268" width="12.28515625" style="148" customWidth="1"/>
    <col min="11269" max="11269" width="21.7109375" style="148" customWidth="1"/>
    <col min="11270" max="11520" width="11.5703125" style="148"/>
    <col min="11521" max="11521" width="20.7109375" style="148" customWidth="1"/>
    <col min="11522" max="11522" width="11.5703125" style="148"/>
    <col min="11523" max="11524" width="12.28515625" style="148" customWidth="1"/>
    <col min="11525" max="11525" width="21.7109375" style="148" customWidth="1"/>
    <col min="11526" max="11776" width="11.5703125" style="148"/>
    <col min="11777" max="11777" width="20.7109375" style="148" customWidth="1"/>
    <col min="11778" max="11778" width="11.5703125" style="148"/>
    <col min="11779" max="11780" width="12.28515625" style="148" customWidth="1"/>
    <col min="11781" max="11781" width="21.7109375" style="148" customWidth="1"/>
    <col min="11782" max="12032" width="11.5703125" style="148"/>
    <col min="12033" max="12033" width="20.7109375" style="148" customWidth="1"/>
    <col min="12034" max="12034" width="11.5703125" style="148"/>
    <col min="12035" max="12036" width="12.28515625" style="148" customWidth="1"/>
    <col min="12037" max="12037" width="21.7109375" style="148" customWidth="1"/>
    <col min="12038" max="12288" width="11.5703125" style="148"/>
    <col min="12289" max="12289" width="20.7109375" style="148" customWidth="1"/>
    <col min="12290" max="12290" width="11.5703125" style="148"/>
    <col min="12291" max="12292" width="12.28515625" style="148" customWidth="1"/>
    <col min="12293" max="12293" width="21.7109375" style="148" customWidth="1"/>
    <col min="12294" max="12544" width="11.5703125" style="148"/>
    <col min="12545" max="12545" width="20.7109375" style="148" customWidth="1"/>
    <col min="12546" max="12546" width="11.5703125" style="148"/>
    <col min="12547" max="12548" width="12.28515625" style="148" customWidth="1"/>
    <col min="12549" max="12549" width="21.7109375" style="148" customWidth="1"/>
    <col min="12550" max="12800" width="11.5703125" style="148"/>
    <col min="12801" max="12801" width="20.7109375" style="148" customWidth="1"/>
    <col min="12802" max="12802" width="11.5703125" style="148"/>
    <col min="12803" max="12804" width="12.28515625" style="148" customWidth="1"/>
    <col min="12805" max="12805" width="21.7109375" style="148" customWidth="1"/>
    <col min="12806" max="13056" width="11.5703125" style="148"/>
    <col min="13057" max="13057" width="20.7109375" style="148" customWidth="1"/>
    <col min="13058" max="13058" width="11.5703125" style="148"/>
    <col min="13059" max="13060" width="12.28515625" style="148" customWidth="1"/>
    <col min="13061" max="13061" width="21.7109375" style="148" customWidth="1"/>
    <col min="13062" max="13312" width="11.5703125" style="148"/>
    <col min="13313" max="13313" width="20.7109375" style="148" customWidth="1"/>
    <col min="13314" max="13314" width="11.5703125" style="148"/>
    <col min="13315" max="13316" width="12.28515625" style="148" customWidth="1"/>
    <col min="13317" max="13317" width="21.7109375" style="148" customWidth="1"/>
    <col min="13318" max="13568" width="11.5703125" style="148"/>
    <col min="13569" max="13569" width="20.7109375" style="148" customWidth="1"/>
    <col min="13570" max="13570" width="11.5703125" style="148"/>
    <col min="13571" max="13572" width="12.28515625" style="148" customWidth="1"/>
    <col min="13573" max="13573" width="21.7109375" style="148" customWidth="1"/>
    <col min="13574" max="13824" width="11.5703125" style="148"/>
    <col min="13825" max="13825" width="20.7109375" style="148" customWidth="1"/>
    <col min="13826" max="13826" width="11.5703125" style="148"/>
    <col min="13827" max="13828" width="12.28515625" style="148" customWidth="1"/>
    <col min="13829" max="13829" width="21.7109375" style="148" customWidth="1"/>
    <col min="13830" max="14080" width="11.5703125" style="148"/>
    <col min="14081" max="14081" width="20.7109375" style="148" customWidth="1"/>
    <col min="14082" max="14082" width="11.5703125" style="148"/>
    <col min="14083" max="14084" width="12.28515625" style="148" customWidth="1"/>
    <col min="14085" max="14085" width="21.7109375" style="148" customWidth="1"/>
    <col min="14086" max="14336" width="11.5703125" style="148"/>
    <col min="14337" max="14337" width="20.7109375" style="148" customWidth="1"/>
    <col min="14338" max="14338" width="11.5703125" style="148"/>
    <col min="14339" max="14340" width="12.28515625" style="148" customWidth="1"/>
    <col min="14341" max="14341" width="21.7109375" style="148" customWidth="1"/>
    <col min="14342" max="14592" width="11.5703125" style="148"/>
    <col min="14593" max="14593" width="20.7109375" style="148" customWidth="1"/>
    <col min="14594" max="14594" width="11.5703125" style="148"/>
    <col min="14595" max="14596" width="12.28515625" style="148" customWidth="1"/>
    <col min="14597" max="14597" width="21.7109375" style="148" customWidth="1"/>
    <col min="14598" max="14848" width="11.5703125" style="148"/>
    <col min="14849" max="14849" width="20.7109375" style="148" customWidth="1"/>
    <col min="14850" max="14850" width="11.5703125" style="148"/>
    <col min="14851" max="14852" width="12.28515625" style="148" customWidth="1"/>
    <col min="14853" max="14853" width="21.7109375" style="148" customWidth="1"/>
    <col min="14854" max="15104" width="11.5703125" style="148"/>
    <col min="15105" max="15105" width="20.7109375" style="148" customWidth="1"/>
    <col min="15106" max="15106" width="11.5703125" style="148"/>
    <col min="15107" max="15108" width="12.28515625" style="148" customWidth="1"/>
    <col min="15109" max="15109" width="21.7109375" style="148" customWidth="1"/>
    <col min="15110" max="15360" width="11.5703125" style="148"/>
    <col min="15361" max="15361" width="20.7109375" style="148" customWidth="1"/>
    <col min="15362" max="15362" width="11.5703125" style="148"/>
    <col min="15363" max="15364" width="12.28515625" style="148" customWidth="1"/>
    <col min="15365" max="15365" width="21.7109375" style="148" customWidth="1"/>
    <col min="15366" max="15616" width="11.5703125" style="148"/>
    <col min="15617" max="15617" width="20.7109375" style="148" customWidth="1"/>
    <col min="15618" max="15618" width="11.5703125" style="148"/>
    <col min="15619" max="15620" width="12.28515625" style="148" customWidth="1"/>
    <col min="15621" max="15621" width="21.7109375" style="148" customWidth="1"/>
    <col min="15622" max="15872" width="11.5703125" style="148"/>
    <col min="15873" max="15873" width="20.7109375" style="148" customWidth="1"/>
    <col min="15874" max="15874" width="11.5703125" style="148"/>
    <col min="15875" max="15876" width="12.28515625" style="148" customWidth="1"/>
    <col min="15877" max="15877" width="21.7109375" style="148" customWidth="1"/>
    <col min="15878" max="16128" width="11.5703125" style="148"/>
    <col min="16129" max="16129" width="20.7109375" style="148" customWidth="1"/>
    <col min="16130" max="16130" width="11.5703125" style="148"/>
    <col min="16131" max="16132" width="12.28515625" style="148" customWidth="1"/>
    <col min="16133" max="16133" width="21.7109375" style="148" customWidth="1"/>
    <col min="16134" max="16384" width="11.5703125" style="148"/>
  </cols>
  <sheetData>
    <row r="1" spans="5:11" ht="21" customHeight="1"/>
    <row r="2" spans="5:11" ht="21" customHeight="1"/>
    <row r="3" spans="5:11" ht="21" customHeight="1"/>
    <row r="7" spans="5:11" ht="15.75" thickBot="1">
      <c r="E7" s="209"/>
      <c r="F7" s="210" t="s">
        <v>274</v>
      </c>
      <c r="G7" s="210" t="s">
        <v>275</v>
      </c>
      <c r="H7" s="210" t="s">
        <v>232</v>
      </c>
      <c r="K7" s="232" t="s">
        <v>276</v>
      </c>
    </row>
    <row r="8" spans="5:11" ht="15.75" thickBot="1">
      <c r="E8" s="211" t="s">
        <v>231</v>
      </c>
      <c r="F8" s="212">
        <f>+'TD inf'!R7</f>
        <v>22080.737184795002</v>
      </c>
      <c r="G8" s="212">
        <f>+'TD inf'!Q7</f>
        <v>20075.617786611001</v>
      </c>
      <c r="H8" s="213">
        <f>+G8/F8-1</f>
        <v>-9.0808535122855583E-2</v>
      </c>
      <c r="K8" s="232" t="s">
        <v>270</v>
      </c>
    </row>
    <row r="9" spans="5:11">
      <c r="E9" s="214" t="str">
        <f>+'1'!A12</f>
        <v>Ingresos tributarios</v>
      </c>
      <c r="F9" s="215">
        <f>+'TD inf'!R8</f>
        <v>15524.317991215999</v>
      </c>
      <c r="G9" s="215">
        <f>+'TD inf'!Q8</f>
        <v>13706.866171352998</v>
      </c>
      <c r="H9" s="216">
        <f>+G9/F9-1</f>
        <v>-0.11707128267350331</v>
      </c>
    </row>
    <row r="10" spans="5:11">
      <c r="E10" s="214" t="str">
        <f>+'1'!A14</f>
        <v>Contribuciones sociales</v>
      </c>
      <c r="F10" s="215">
        <f>+'TD inf'!R11</f>
        <v>1448.4645907260001</v>
      </c>
      <c r="G10" s="215">
        <f>+'TD inf'!Q11</f>
        <v>1725.01017305</v>
      </c>
      <c r="H10" s="216">
        <f>+G10/F10-1</f>
        <v>0.19092326046119612</v>
      </c>
    </row>
    <row r="11" spans="5:11">
      <c r="E11" s="217" t="str">
        <f>+'1'!A16</f>
        <v>Donaciones</v>
      </c>
      <c r="F11" s="188">
        <f>+'TD inf'!R12</f>
        <v>748.88536664700007</v>
      </c>
      <c r="G11" s="188">
        <f>+'TD inf'!Q12</f>
        <v>750.71426861500004</v>
      </c>
      <c r="H11" s="189">
        <f>+G11/F11-1</f>
        <v>2.442165449417999E-3</v>
      </c>
    </row>
    <row r="12" spans="5:11">
      <c r="E12" s="218" t="str">
        <f>+'1'!A26</f>
        <v>Otros ingresos</v>
      </c>
      <c r="F12" s="219">
        <f>+'TD inf'!R13</f>
        <v>4359.0692362060008</v>
      </c>
      <c r="G12" s="219">
        <f>+'TD inf'!Q13</f>
        <v>3893.027173593</v>
      </c>
      <c r="H12" s="220">
        <f>+G12/F12-1</f>
        <v>-0.10691320494340883</v>
      </c>
    </row>
    <row r="13" spans="5:11">
      <c r="E13" s="190" t="s">
        <v>266</v>
      </c>
    </row>
    <row r="30" spans="1:5" ht="15" thickBot="1">
      <c r="B30" s="221" t="s">
        <v>274</v>
      </c>
      <c r="C30" s="221" t="s">
        <v>275</v>
      </c>
      <c r="D30" s="221" t="s">
        <v>232</v>
      </c>
    </row>
    <row r="31" spans="1:5" ht="15" thickBot="1">
      <c r="A31" s="222" t="s">
        <v>233</v>
      </c>
      <c r="B31" s="222">
        <f>SUM(B32:B38)</f>
        <v>21136.678047494002</v>
      </c>
      <c r="C31" s="222">
        <f>SUM(C32:C38)</f>
        <v>23526.367888615001</v>
      </c>
      <c r="D31" s="223">
        <f>+C31/B31-1</f>
        <v>0.11305891284105196</v>
      </c>
      <c r="E31" s="208"/>
    </row>
    <row r="32" spans="1:5" ht="25.5">
      <c r="A32" s="224" t="str">
        <f>+'1'!A36</f>
        <v>Remuneración a los empleados</v>
      </c>
      <c r="B32" s="225">
        <f>+'TD inf'!R15</f>
        <v>10012.698739790001</v>
      </c>
      <c r="C32" s="225">
        <f>+'TD inf'!Q15</f>
        <v>10713.351976755001</v>
      </c>
      <c r="D32" s="226">
        <f t="shared" ref="D32:D37" si="0">+C32/B32-1</f>
        <v>6.997646240774591E-2</v>
      </c>
      <c r="E32" s="189"/>
    </row>
    <row r="33" spans="1:5">
      <c r="A33" s="188" t="str">
        <f>+'1'!A37</f>
        <v>Uso de bienes y servicios</v>
      </c>
      <c r="B33" s="188">
        <f>+'TD inf'!R16</f>
        <v>2108.545672875</v>
      </c>
      <c r="C33" s="188">
        <f>+'TD inf'!Q16</f>
        <v>2127.0742591379999</v>
      </c>
      <c r="D33" s="189">
        <f t="shared" si="0"/>
        <v>8.7873772436410924E-3</v>
      </c>
      <c r="E33" s="189"/>
    </row>
    <row r="34" spans="1:5">
      <c r="A34" s="188" t="str">
        <f>+'1'!A42</f>
        <v>Intereses</v>
      </c>
      <c r="B34" s="188">
        <f>+'TD inf'!R17</f>
        <v>1341.7417009630001</v>
      </c>
      <c r="C34" s="188">
        <f>+'TD inf'!Q17</f>
        <v>1518.7952569719998</v>
      </c>
      <c r="D34" s="189">
        <f t="shared" si="0"/>
        <v>0.13195800345321618</v>
      </c>
      <c r="E34" s="189"/>
    </row>
    <row r="35" spans="1:5">
      <c r="A35" s="188" t="str">
        <f>+'1'!A46</f>
        <v>Donaciones</v>
      </c>
      <c r="B35" s="188">
        <f>+'TD inf'!R18</f>
        <v>3156.0937197439998</v>
      </c>
      <c r="C35" s="188">
        <f>+'TD inf'!Q18</f>
        <v>2762.062217663</v>
      </c>
      <c r="D35" s="189">
        <f t="shared" si="0"/>
        <v>-0.12484784580888841</v>
      </c>
      <c r="E35" s="189"/>
    </row>
    <row r="36" spans="1:5">
      <c r="A36" s="188" t="str">
        <f>+'1'!A56</f>
        <v>Prestaciones sociales</v>
      </c>
      <c r="B36" s="188">
        <f>+'TD inf'!R19</f>
        <v>3570.1626151060004</v>
      </c>
      <c r="C36" s="188">
        <f>+'TD inf'!Q19</f>
        <v>5471.1030404440007</v>
      </c>
      <c r="D36" s="189">
        <f t="shared" si="0"/>
        <v>0.53245205618779923</v>
      </c>
      <c r="E36" s="189"/>
    </row>
    <row r="37" spans="1:5">
      <c r="A37" s="227" t="str">
        <f>+'1'!A60</f>
        <v>Otros gastos</v>
      </c>
      <c r="B37" s="227">
        <f>+'TD inf'!R20</f>
        <v>947.43559901599997</v>
      </c>
      <c r="C37" s="227">
        <f>+'TD inf'!Q20</f>
        <v>933.98113764300001</v>
      </c>
      <c r="D37" s="228">
        <f t="shared" si="0"/>
        <v>-1.420092446069543E-2</v>
      </c>
      <c r="E37" s="189"/>
    </row>
    <row r="38" spans="1:5" ht="19.149999999999999" customHeight="1">
      <c r="A38" s="207" t="s">
        <v>267</v>
      </c>
      <c r="E38" s="209"/>
    </row>
  </sheetData>
  <hyperlinks>
    <hyperlink ref="K7" location="'1'!A1" display="'1'!A1"/>
    <hyperlink ref="K8" location="'2'!A1" display="'2'!A1"/>
  </hyperlink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133"/>
  <sheetViews>
    <sheetView showGridLines="0" zoomScaleNormal="100" workbookViewId="0">
      <pane ySplit="9" topLeftCell="A58" activePane="bottomLeft" state="frozen"/>
      <selection pane="bottomLeft" activeCell="J1" sqref="J1"/>
    </sheetView>
  </sheetViews>
  <sheetFormatPr baseColWidth="10" defaultColWidth="12.28515625" defaultRowHeight="14.25" outlineLevelRow="2"/>
  <cols>
    <col min="1" max="1" width="53.7109375" style="128" customWidth="1"/>
    <col min="2" max="2" width="12.28515625" style="128" bestFit="1" customWidth="1"/>
    <col min="3" max="3" width="10.5703125" style="170" bestFit="1" customWidth="1"/>
    <col min="4" max="4" width="9.7109375" style="128" bestFit="1" customWidth="1"/>
    <col min="5" max="5" width="12.28515625" style="128" bestFit="1" customWidth="1"/>
    <col min="6" max="6" width="9.28515625" style="135" customWidth="1"/>
    <col min="7" max="7" width="8.28515625" style="128" bestFit="1" customWidth="1"/>
    <col min="8" max="8" width="9.140625" style="128" bestFit="1" customWidth="1"/>
    <col min="9" max="9" width="1.85546875" style="128" customWidth="1"/>
    <col min="10" max="10" width="17.7109375" style="128" bestFit="1" customWidth="1"/>
    <col min="11" max="256" width="12.28515625" style="128"/>
    <col min="257" max="257" width="53.7109375" style="128" customWidth="1"/>
    <col min="258" max="258" width="12.28515625" style="128" bestFit="1" customWidth="1"/>
    <col min="259" max="259" width="10.5703125" style="128" bestFit="1" customWidth="1"/>
    <col min="260" max="260" width="9.7109375" style="128" bestFit="1" customWidth="1"/>
    <col min="261" max="261" width="12.28515625" style="128" bestFit="1" customWidth="1"/>
    <col min="262" max="262" width="9.28515625" style="128" customWidth="1"/>
    <col min="263" max="263" width="8.28515625" style="128" bestFit="1" customWidth="1"/>
    <col min="264" max="264" width="9.140625" style="128" bestFit="1" customWidth="1"/>
    <col min="265" max="265" width="14" style="128" bestFit="1" customWidth="1"/>
    <col min="266" max="266" width="17.7109375" style="128" bestFit="1" customWidth="1"/>
    <col min="267" max="512" width="12.28515625" style="128"/>
    <col min="513" max="513" width="53.7109375" style="128" customWidth="1"/>
    <col min="514" max="514" width="12.28515625" style="128" bestFit="1" customWidth="1"/>
    <col min="515" max="515" width="10.5703125" style="128" bestFit="1" customWidth="1"/>
    <col min="516" max="516" width="9.7109375" style="128" bestFit="1" customWidth="1"/>
    <col min="517" max="517" width="12.28515625" style="128" bestFit="1" customWidth="1"/>
    <col min="518" max="518" width="9.28515625" style="128" customWidth="1"/>
    <col min="519" max="519" width="8.28515625" style="128" bestFit="1" customWidth="1"/>
    <col min="520" max="520" width="9.140625" style="128" bestFit="1" customWidth="1"/>
    <col min="521" max="521" width="14" style="128" bestFit="1" customWidth="1"/>
    <col min="522" max="522" width="17.7109375" style="128" bestFit="1" customWidth="1"/>
    <col min="523" max="768" width="12.28515625" style="128"/>
    <col min="769" max="769" width="53.7109375" style="128" customWidth="1"/>
    <col min="770" max="770" width="12.28515625" style="128" bestFit="1" customWidth="1"/>
    <col min="771" max="771" width="10.5703125" style="128" bestFit="1" customWidth="1"/>
    <col min="772" max="772" width="9.7109375" style="128" bestFit="1" customWidth="1"/>
    <col min="773" max="773" width="12.28515625" style="128" bestFit="1" customWidth="1"/>
    <col min="774" max="774" width="9.28515625" style="128" customWidth="1"/>
    <col min="775" max="775" width="8.28515625" style="128" bestFit="1" customWidth="1"/>
    <col min="776" max="776" width="9.140625" style="128" bestFit="1" customWidth="1"/>
    <col min="777" max="777" width="14" style="128" bestFit="1" customWidth="1"/>
    <col min="778" max="778" width="17.7109375" style="128" bestFit="1" customWidth="1"/>
    <col min="779" max="1024" width="12.28515625" style="128"/>
    <col min="1025" max="1025" width="53.7109375" style="128" customWidth="1"/>
    <col min="1026" max="1026" width="12.28515625" style="128" bestFit="1" customWidth="1"/>
    <col min="1027" max="1027" width="10.5703125" style="128" bestFit="1" customWidth="1"/>
    <col min="1028" max="1028" width="9.7109375" style="128" bestFit="1" customWidth="1"/>
    <col min="1029" max="1029" width="12.28515625" style="128" bestFit="1" customWidth="1"/>
    <col min="1030" max="1030" width="9.28515625" style="128" customWidth="1"/>
    <col min="1031" max="1031" width="8.28515625" style="128" bestFit="1" customWidth="1"/>
    <col min="1032" max="1032" width="9.140625" style="128" bestFit="1" customWidth="1"/>
    <col min="1033" max="1033" width="14" style="128" bestFit="1" customWidth="1"/>
    <col min="1034" max="1034" width="17.7109375" style="128" bestFit="1" customWidth="1"/>
    <col min="1035" max="1280" width="12.28515625" style="128"/>
    <col min="1281" max="1281" width="53.7109375" style="128" customWidth="1"/>
    <col min="1282" max="1282" width="12.28515625" style="128" bestFit="1" customWidth="1"/>
    <col min="1283" max="1283" width="10.5703125" style="128" bestFit="1" customWidth="1"/>
    <col min="1284" max="1284" width="9.7109375" style="128" bestFit="1" customWidth="1"/>
    <col min="1285" max="1285" width="12.28515625" style="128" bestFit="1" customWidth="1"/>
    <col min="1286" max="1286" width="9.28515625" style="128" customWidth="1"/>
    <col min="1287" max="1287" width="8.28515625" style="128" bestFit="1" customWidth="1"/>
    <col min="1288" max="1288" width="9.140625" style="128" bestFit="1" customWidth="1"/>
    <col min="1289" max="1289" width="14" style="128" bestFit="1" customWidth="1"/>
    <col min="1290" max="1290" width="17.7109375" style="128" bestFit="1" customWidth="1"/>
    <col min="1291" max="1536" width="12.28515625" style="128"/>
    <col min="1537" max="1537" width="53.7109375" style="128" customWidth="1"/>
    <col min="1538" max="1538" width="12.28515625" style="128" bestFit="1" customWidth="1"/>
    <col min="1539" max="1539" width="10.5703125" style="128" bestFit="1" customWidth="1"/>
    <col min="1540" max="1540" width="9.7109375" style="128" bestFit="1" customWidth="1"/>
    <col min="1541" max="1541" width="12.28515625" style="128" bestFit="1" customWidth="1"/>
    <col min="1542" max="1542" width="9.28515625" style="128" customWidth="1"/>
    <col min="1543" max="1543" width="8.28515625" style="128" bestFit="1" customWidth="1"/>
    <col min="1544" max="1544" width="9.140625" style="128" bestFit="1" customWidth="1"/>
    <col min="1545" max="1545" width="14" style="128" bestFit="1" customWidth="1"/>
    <col min="1546" max="1546" width="17.7109375" style="128" bestFit="1" customWidth="1"/>
    <col min="1547" max="1792" width="12.28515625" style="128"/>
    <col min="1793" max="1793" width="53.7109375" style="128" customWidth="1"/>
    <col min="1794" max="1794" width="12.28515625" style="128" bestFit="1" customWidth="1"/>
    <col min="1795" max="1795" width="10.5703125" style="128" bestFit="1" customWidth="1"/>
    <col min="1796" max="1796" width="9.7109375" style="128" bestFit="1" customWidth="1"/>
    <col min="1797" max="1797" width="12.28515625" style="128" bestFit="1" customWidth="1"/>
    <col min="1798" max="1798" width="9.28515625" style="128" customWidth="1"/>
    <col min="1799" max="1799" width="8.28515625" style="128" bestFit="1" customWidth="1"/>
    <col min="1800" max="1800" width="9.140625" style="128" bestFit="1" customWidth="1"/>
    <col min="1801" max="1801" width="14" style="128" bestFit="1" customWidth="1"/>
    <col min="1802" max="1802" width="17.7109375" style="128" bestFit="1" customWidth="1"/>
    <col min="1803" max="2048" width="12.28515625" style="128"/>
    <col min="2049" max="2049" width="53.7109375" style="128" customWidth="1"/>
    <col min="2050" max="2050" width="12.28515625" style="128" bestFit="1" customWidth="1"/>
    <col min="2051" max="2051" width="10.5703125" style="128" bestFit="1" customWidth="1"/>
    <col min="2052" max="2052" width="9.7109375" style="128" bestFit="1" customWidth="1"/>
    <col min="2053" max="2053" width="12.28515625" style="128" bestFit="1" customWidth="1"/>
    <col min="2054" max="2054" width="9.28515625" style="128" customWidth="1"/>
    <col min="2055" max="2055" width="8.28515625" style="128" bestFit="1" customWidth="1"/>
    <col min="2056" max="2056" width="9.140625" style="128" bestFit="1" customWidth="1"/>
    <col min="2057" max="2057" width="14" style="128" bestFit="1" customWidth="1"/>
    <col min="2058" max="2058" width="17.7109375" style="128" bestFit="1" customWidth="1"/>
    <col min="2059" max="2304" width="12.28515625" style="128"/>
    <col min="2305" max="2305" width="53.7109375" style="128" customWidth="1"/>
    <col min="2306" max="2306" width="12.28515625" style="128" bestFit="1" customWidth="1"/>
    <col min="2307" max="2307" width="10.5703125" style="128" bestFit="1" customWidth="1"/>
    <col min="2308" max="2308" width="9.7109375" style="128" bestFit="1" customWidth="1"/>
    <col min="2309" max="2309" width="12.28515625" style="128" bestFit="1" customWidth="1"/>
    <col min="2310" max="2310" width="9.28515625" style="128" customWidth="1"/>
    <col min="2311" max="2311" width="8.28515625" style="128" bestFit="1" customWidth="1"/>
    <col min="2312" max="2312" width="9.140625" style="128" bestFit="1" customWidth="1"/>
    <col min="2313" max="2313" width="14" style="128" bestFit="1" customWidth="1"/>
    <col min="2314" max="2314" width="17.7109375" style="128" bestFit="1" customWidth="1"/>
    <col min="2315" max="2560" width="12.28515625" style="128"/>
    <col min="2561" max="2561" width="53.7109375" style="128" customWidth="1"/>
    <col min="2562" max="2562" width="12.28515625" style="128" bestFit="1" customWidth="1"/>
    <col min="2563" max="2563" width="10.5703125" style="128" bestFit="1" customWidth="1"/>
    <col min="2564" max="2564" width="9.7109375" style="128" bestFit="1" customWidth="1"/>
    <col min="2565" max="2565" width="12.28515625" style="128" bestFit="1" customWidth="1"/>
    <col min="2566" max="2566" width="9.28515625" style="128" customWidth="1"/>
    <col min="2567" max="2567" width="8.28515625" style="128" bestFit="1" customWidth="1"/>
    <col min="2568" max="2568" width="9.140625" style="128" bestFit="1" customWidth="1"/>
    <col min="2569" max="2569" width="14" style="128" bestFit="1" customWidth="1"/>
    <col min="2570" max="2570" width="17.7109375" style="128" bestFit="1" customWidth="1"/>
    <col min="2571" max="2816" width="12.28515625" style="128"/>
    <col min="2817" max="2817" width="53.7109375" style="128" customWidth="1"/>
    <col min="2818" max="2818" width="12.28515625" style="128" bestFit="1" customWidth="1"/>
    <col min="2819" max="2819" width="10.5703125" style="128" bestFit="1" customWidth="1"/>
    <col min="2820" max="2820" width="9.7109375" style="128" bestFit="1" customWidth="1"/>
    <col min="2821" max="2821" width="12.28515625" style="128" bestFit="1" customWidth="1"/>
    <col min="2822" max="2822" width="9.28515625" style="128" customWidth="1"/>
    <col min="2823" max="2823" width="8.28515625" style="128" bestFit="1" customWidth="1"/>
    <col min="2824" max="2824" width="9.140625" style="128" bestFit="1" customWidth="1"/>
    <col min="2825" max="2825" width="14" style="128" bestFit="1" customWidth="1"/>
    <col min="2826" max="2826" width="17.7109375" style="128" bestFit="1" customWidth="1"/>
    <col min="2827" max="3072" width="12.28515625" style="128"/>
    <col min="3073" max="3073" width="53.7109375" style="128" customWidth="1"/>
    <col min="3074" max="3074" width="12.28515625" style="128" bestFit="1" customWidth="1"/>
    <col min="3075" max="3075" width="10.5703125" style="128" bestFit="1" customWidth="1"/>
    <col min="3076" max="3076" width="9.7109375" style="128" bestFit="1" customWidth="1"/>
    <col min="3077" max="3077" width="12.28515625" style="128" bestFit="1" customWidth="1"/>
    <col min="3078" max="3078" width="9.28515625" style="128" customWidth="1"/>
    <col min="3079" max="3079" width="8.28515625" style="128" bestFit="1" customWidth="1"/>
    <col min="3080" max="3080" width="9.140625" style="128" bestFit="1" customWidth="1"/>
    <col min="3081" max="3081" width="14" style="128" bestFit="1" customWidth="1"/>
    <col min="3082" max="3082" width="17.7109375" style="128" bestFit="1" customWidth="1"/>
    <col min="3083" max="3328" width="12.28515625" style="128"/>
    <col min="3329" max="3329" width="53.7109375" style="128" customWidth="1"/>
    <col min="3330" max="3330" width="12.28515625" style="128" bestFit="1" customWidth="1"/>
    <col min="3331" max="3331" width="10.5703125" style="128" bestFit="1" customWidth="1"/>
    <col min="3332" max="3332" width="9.7109375" style="128" bestFit="1" customWidth="1"/>
    <col min="3333" max="3333" width="12.28515625" style="128" bestFit="1" customWidth="1"/>
    <col min="3334" max="3334" width="9.28515625" style="128" customWidth="1"/>
    <col min="3335" max="3335" width="8.28515625" style="128" bestFit="1" customWidth="1"/>
    <col min="3336" max="3336" width="9.140625" style="128" bestFit="1" customWidth="1"/>
    <col min="3337" max="3337" width="14" style="128" bestFit="1" customWidth="1"/>
    <col min="3338" max="3338" width="17.7109375" style="128" bestFit="1" customWidth="1"/>
    <col min="3339" max="3584" width="12.28515625" style="128"/>
    <col min="3585" max="3585" width="53.7109375" style="128" customWidth="1"/>
    <col min="3586" max="3586" width="12.28515625" style="128" bestFit="1" customWidth="1"/>
    <col min="3587" max="3587" width="10.5703125" style="128" bestFit="1" customWidth="1"/>
    <col min="3588" max="3588" width="9.7109375" style="128" bestFit="1" customWidth="1"/>
    <col min="3589" max="3589" width="12.28515625" style="128" bestFit="1" customWidth="1"/>
    <col min="3590" max="3590" width="9.28515625" style="128" customWidth="1"/>
    <col min="3591" max="3591" width="8.28515625" style="128" bestFit="1" customWidth="1"/>
    <col min="3592" max="3592" width="9.140625" style="128" bestFit="1" customWidth="1"/>
    <col min="3593" max="3593" width="14" style="128" bestFit="1" customWidth="1"/>
    <col min="3594" max="3594" width="17.7109375" style="128" bestFit="1" customWidth="1"/>
    <col min="3595" max="3840" width="12.28515625" style="128"/>
    <col min="3841" max="3841" width="53.7109375" style="128" customWidth="1"/>
    <col min="3842" max="3842" width="12.28515625" style="128" bestFit="1" customWidth="1"/>
    <col min="3843" max="3843" width="10.5703125" style="128" bestFit="1" customWidth="1"/>
    <col min="3844" max="3844" width="9.7109375" style="128" bestFit="1" customWidth="1"/>
    <col min="3845" max="3845" width="12.28515625" style="128" bestFit="1" customWidth="1"/>
    <col min="3846" max="3846" width="9.28515625" style="128" customWidth="1"/>
    <col min="3847" max="3847" width="8.28515625" style="128" bestFit="1" customWidth="1"/>
    <col min="3848" max="3848" width="9.140625" style="128" bestFit="1" customWidth="1"/>
    <col min="3849" max="3849" width="14" style="128" bestFit="1" customWidth="1"/>
    <col min="3850" max="3850" width="17.7109375" style="128" bestFit="1" customWidth="1"/>
    <col min="3851" max="4096" width="12.28515625" style="128"/>
    <col min="4097" max="4097" width="53.7109375" style="128" customWidth="1"/>
    <col min="4098" max="4098" width="12.28515625" style="128" bestFit="1" customWidth="1"/>
    <col min="4099" max="4099" width="10.5703125" style="128" bestFit="1" customWidth="1"/>
    <col min="4100" max="4100" width="9.7109375" style="128" bestFit="1" customWidth="1"/>
    <col min="4101" max="4101" width="12.28515625" style="128" bestFit="1" customWidth="1"/>
    <col min="4102" max="4102" width="9.28515625" style="128" customWidth="1"/>
    <col min="4103" max="4103" width="8.28515625" style="128" bestFit="1" customWidth="1"/>
    <col min="4104" max="4104" width="9.140625" style="128" bestFit="1" customWidth="1"/>
    <col min="4105" max="4105" width="14" style="128" bestFit="1" customWidth="1"/>
    <col min="4106" max="4106" width="17.7109375" style="128" bestFit="1" customWidth="1"/>
    <col min="4107" max="4352" width="12.28515625" style="128"/>
    <col min="4353" max="4353" width="53.7109375" style="128" customWidth="1"/>
    <col min="4354" max="4354" width="12.28515625" style="128" bestFit="1" customWidth="1"/>
    <col min="4355" max="4355" width="10.5703125" style="128" bestFit="1" customWidth="1"/>
    <col min="4356" max="4356" width="9.7109375" style="128" bestFit="1" customWidth="1"/>
    <col min="4357" max="4357" width="12.28515625" style="128" bestFit="1" customWidth="1"/>
    <col min="4358" max="4358" width="9.28515625" style="128" customWidth="1"/>
    <col min="4359" max="4359" width="8.28515625" style="128" bestFit="1" customWidth="1"/>
    <col min="4360" max="4360" width="9.140625" style="128" bestFit="1" customWidth="1"/>
    <col min="4361" max="4361" width="14" style="128" bestFit="1" customWidth="1"/>
    <col min="4362" max="4362" width="17.7109375" style="128" bestFit="1" customWidth="1"/>
    <col min="4363" max="4608" width="12.28515625" style="128"/>
    <col min="4609" max="4609" width="53.7109375" style="128" customWidth="1"/>
    <col min="4610" max="4610" width="12.28515625" style="128" bestFit="1" customWidth="1"/>
    <col min="4611" max="4611" width="10.5703125" style="128" bestFit="1" customWidth="1"/>
    <col min="4612" max="4612" width="9.7109375" style="128" bestFit="1" customWidth="1"/>
    <col min="4613" max="4613" width="12.28515625" style="128" bestFit="1" customWidth="1"/>
    <col min="4614" max="4614" width="9.28515625" style="128" customWidth="1"/>
    <col min="4615" max="4615" width="8.28515625" style="128" bestFit="1" customWidth="1"/>
    <col min="4616" max="4616" width="9.140625" style="128" bestFit="1" customWidth="1"/>
    <col min="4617" max="4617" width="14" style="128" bestFit="1" customWidth="1"/>
    <col min="4618" max="4618" width="17.7109375" style="128" bestFit="1" customWidth="1"/>
    <col min="4619" max="4864" width="12.28515625" style="128"/>
    <col min="4865" max="4865" width="53.7109375" style="128" customWidth="1"/>
    <col min="4866" max="4866" width="12.28515625" style="128" bestFit="1" customWidth="1"/>
    <col min="4867" max="4867" width="10.5703125" style="128" bestFit="1" customWidth="1"/>
    <col min="4868" max="4868" width="9.7109375" style="128" bestFit="1" customWidth="1"/>
    <col min="4869" max="4869" width="12.28515625" style="128" bestFit="1" customWidth="1"/>
    <col min="4870" max="4870" width="9.28515625" style="128" customWidth="1"/>
    <col min="4871" max="4871" width="8.28515625" style="128" bestFit="1" customWidth="1"/>
    <col min="4872" max="4872" width="9.140625" style="128" bestFit="1" customWidth="1"/>
    <col min="4873" max="4873" width="14" style="128" bestFit="1" customWidth="1"/>
    <col min="4874" max="4874" width="17.7109375" style="128" bestFit="1" customWidth="1"/>
    <col min="4875" max="5120" width="12.28515625" style="128"/>
    <col min="5121" max="5121" width="53.7109375" style="128" customWidth="1"/>
    <col min="5122" max="5122" width="12.28515625" style="128" bestFit="1" customWidth="1"/>
    <col min="5123" max="5123" width="10.5703125" style="128" bestFit="1" customWidth="1"/>
    <col min="5124" max="5124" width="9.7109375" style="128" bestFit="1" customWidth="1"/>
    <col min="5125" max="5125" width="12.28515625" style="128" bestFit="1" customWidth="1"/>
    <col min="5126" max="5126" width="9.28515625" style="128" customWidth="1"/>
    <col min="5127" max="5127" width="8.28515625" style="128" bestFit="1" customWidth="1"/>
    <col min="5128" max="5128" width="9.140625" style="128" bestFit="1" customWidth="1"/>
    <col min="5129" max="5129" width="14" style="128" bestFit="1" customWidth="1"/>
    <col min="5130" max="5130" width="17.7109375" style="128" bestFit="1" customWidth="1"/>
    <col min="5131" max="5376" width="12.28515625" style="128"/>
    <col min="5377" max="5377" width="53.7109375" style="128" customWidth="1"/>
    <col min="5378" max="5378" width="12.28515625" style="128" bestFit="1" customWidth="1"/>
    <col min="5379" max="5379" width="10.5703125" style="128" bestFit="1" customWidth="1"/>
    <col min="5380" max="5380" width="9.7109375" style="128" bestFit="1" customWidth="1"/>
    <col min="5381" max="5381" width="12.28515625" style="128" bestFit="1" customWidth="1"/>
    <col min="5382" max="5382" width="9.28515625" style="128" customWidth="1"/>
    <col min="5383" max="5383" width="8.28515625" style="128" bestFit="1" customWidth="1"/>
    <col min="5384" max="5384" width="9.140625" style="128" bestFit="1" customWidth="1"/>
    <col min="5385" max="5385" width="14" style="128" bestFit="1" customWidth="1"/>
    <col min="5386" max="5386" width="17.7109375" style="128" bestFit="1" customWidth="1"/>
    <col min="5387" max="5632" width="12.28515625" style="128"/>
    <col min="5633" max="5633" width="53.7109375" style="128" customWidth="1"/>
    <col min="5634" max="5634" width="12.28515625" style="128" bestFit="1" customWidth="1"/>
    <col min="5635" max="5635" width="10.5703125" style="128" bestFit="1" customWidth="1"/>
    <col min="5636" max="5636" width="9.7109375" style="128" bestFit="1" customWidth="1"/>
    <col min="5637" max="5637" width="12.28515625" style="128" bestFit="1" customWidth="1"/>
    <col min="5638" max="5638" width="9.28515625" style="128" customWidth="1"/>
    <col min="5639" max="5639" width="8.28515625" style="128" bestFit="1" customWidth="1"/>
    <col min="5640" max="5640" width="9.140625" style="128" bestFit="1" customWidth="1"/>
    <col min="5641" max="5641" width="14" style="128" bestFit="1" customWidth="1"/>
    <col min="5642" max="5642" width="17.7109375" style="128" bestFit="1" customWidth="1"/>
    <col min="5643" max="5888" width="12.28515625" style="128"/>
    <col min="5889" max="5889" width="53.7109375" style="128" customWidth="1"/>
    <col min="5890" max="5890" width="12.28515625" style="128" bestFit="1" customWidth="1"/>
    <col min="5891" max="5891" width="10.5703125" style="128" bestFit="1" customWidth="1"/>
    <col min="5892" max="5892" width="9.7109375" style="128" bestFit="1" customWidth="1"/>
    <col min="5893" max="5893" width="12.28515625" style="128" bestFit="1" customWidth="1"/>
    <col min="5894" max="5894" width="9.28515625" style="128" customWidth="1"/>
    <col min="5895" max="5895" width="8.28515625" style="128" bestFit="1" customWidth="1"/>
    <col min="5896" max="5896" width="9.140625" style="128" bestFit="1" customWidth="1"/>
    <col min="5897" max="5897" width="14" style="128" bestFit="1" customWidth="1"/>
    <col min="5898" max="5898" width="17.7109375" style="128" bestFit="1" customWidth="1"/>
    <col min="5899" max="6144" width="12.28515625" style="128"/>
    <col min="6145" max="6145" width="53.7109375" style="128" customWidth="1"/>
    <col min="6146" max="6146" width="12.28515625" style="128" bestFit="1" customWidth="1"/>
    <col min="6147" max="6147" width="10.5703125" style="128" bestFit="1" customWidth="1"/>
    <col min="6148" max="6148" width="9.7109375" style="128" bestFit="1" customWidth="1"/>
    <col min="6149" max="6149" width="12.28515625" style="128" bestFit="1" customWidth="1"/>
    <col min="6150" max="6150" width="9.28515625" style="128" customWidth="1"/>
    <col min="6151" max="6151" width="8.28515625" style="128" bestFit="1" customWidth="1"/>
    <col min="6152" max="6152" width="9.140625" style="128" bestFit="1" customWidth="1"/>
    <col min="6153" max="6153" width="14" style="128" bestFit="1" customWidth="1"/>
    <col min="6154" max="6154" width="17.7109375" style="128" bestFit="1" customWidth="1"/>
    <col min="6155" max="6400" width="12.28515625" style="128"/>
    <col min="6401" max="6401" width="53.7109375" style="128" customWidth="1"/>
    <col min="6402" max="6402" width="12.28515625" style="128" bestFit="1" customWidth="1"/>
    <col min="6403" max="6403" width="10.5703125" style="128" bestFit="1" customWidth="1"/>
    <col min="6404" max="6404" width="9.7109375" style="128" bestFit="1" customWidth="1"/>
    <col min="6405" max="6405" width="12.28515625" style="128" bestFit="1" customWidth="1"/>
    <col min="6406" max="6406" width="9.28515625" style="128" customWidth="1"/>
    <col min="6407" max="6407" width="8.28515625" style="128" bestFit="1" customWidth="1"/>
    <col min="6408" max="6408" width="9.140625" style="128" bestFit="1" customWidth="1"/>
    <col min="6409" max="6409" width="14" style="128" bestFit="1" customWidth="1"/>
    <col min="6410" max="6410" width="17.7109375" style="128" bestFit="1" customWidth="1"/>
    <col min="6411" max="6656" width="12.28515625" style="128"/>
    <col min="6657" max="6657" width="53.7109375" style="128" customWidth="1"/>
    <col min="6658" max="6658" width="12.28515625" style="128" bestFit="1" customWidth="1"/>
    <col min="6659" max="6659" width="10.5703125" style="128" bestFit="1" customWidth="1"/>
    <col min="6660" max="6660" width="9.7109375" style="128" bestFit="1" customWidth="1"/>
    <col min="6661" max="6661" width="12.28515625" style="128" bestFit="1" customWidth="1"/>
    <col min="6662" max="6662" width="9.28515625" style="128" customWidth="1"/>
    <col min="6663" max="6663" width="8.28515625" style="128" bestFit="1" customWidth="1"/>
    <col min="6664" max="6664" width="9.140625" style="128" bestFit="1" customWidth="1"/>
    <col min="6665" max="6665" width="14" style="128" bestFit="1" customWidth="1"/>
    <col min="6666" max="6666" width="17.7109375" style="128" bestFit="1" customWidth="1"/>
    <col min="6667" max="6912" width="12.28515625" style="128"/>
    <col min="6913" max="6913" width="53.7109375" style="128" customWidth="1"/>
    <col min="6914" max="6914" width="12.28515625" style="128" bestFit="1" customWidth="1"/>
    <col min="6915" max="6915" width="10.5703125" style="128" bestFit="1" customWidth="1"/>
    <col min="6916" max="6916" width="9.7109375" style="128" bestFit="1" customWidth="1"/>
    <col min="6917" max="6917" width="12.28515625" style="128" bestFit="1" customWidth="1"/>
    <col min="6918" max="6918" width="9.28515625" style="128" customWidth="1"/>
    <col min="6919" max="6919" width="8.28515625" style="128" bestFit="1" customWidth="1"/>
    <col min="6920" max="6920" width="9.140625" style="128" bestFit="1" customWidth="1"/>
    <col min="6921" max="6921" width="14" style="128" bestFit="1" customWidth="1"/>
    <col min="6922" max="6922" width="17.7109375" style="128" bestFit="1" customWidth="1"/>
    <col min="6923" max="7168" width="12.28515625" style="128"/>
    <col min="7169" max="7169" width="53.7109375" style="128" customWidth="1"/>
    <col min="7170" max="7170" width="12.28515625" style="128" bestFit="1" customWidth="1"/>
    <col min="7171" max="7171" width="10.5703125" style="128" bestFit="1" customWidth="1"/>
    <col min="7172" max="7172" width="9.7109375" style="128" bestFit="1" customWidth="1"/>
    <col min="7173" max="7173" width="12.28515625" style="128" bestFit="1" customWidth="1"/>
    <col min="7174" max="7174" width="9.28515625" style="128" customWidth="1"/>
    <col min="7175" max="7175" width="8.28515625" style="128" bestFit="1" customWidth="1"/>
    <col min="7176" max="7176" width="9.140625" style="128" bestFit="1" customWidth="1"/>
    <col min="7177" max="7177" width="14" style="128" bestFit="1" customWidth="1"/>
    <col min="7178" max="7178" width="17.7109375" style="128" bestFit="1" customWidth="1"/>
    <col min="7179" max="7424" width="12.28515625" style="128"/>
    <col min="7425" max="7425" width="53.7109375" style="128" customWidth="1"/>
    <col min="7426" max="7426" width="12.28515625" style="128" bestFit="1" customWidth="1"/>
    <col min="7427" max="7427" width="10.5703125" style="128" bestFit="1" customWidth="1"/>
    <col min="7428" max="7428" width="9.7109375" style="128" bestFit="1" customWidth="1"/>
    <col min="7429" max="7429" width="12.28515625" style="128" bestFit="1" customWidth="1"/>
    <col min="7430" max="7430" width="9.28515625" style="128" customWidth="1"/>
    <col min="7431" max="7431" width="8.28515625" style="128" bestFit="1" customWidth="1"/>
    <col min="7432" max="7432" width="9.140625" style="128" bestFit="1" customWidth="1"/>
    <col min="7433" max="7433" width="14" style="128" bestFit="1" customWidth="1"/>
    <col min="7434" max="7434" width="17.7109375" style="128" bestFit="1" customWidth="1"/>
    <col min="7435" max="7680" width="12.28515625" style="128"/>
    <col min="7681" max="7681" width="53.7109375" style="128" customWidth="1"/>
    <col min="7682" max="7682" width="12.28515625" style="128" bestFit="1" customWidth="1"/>
    <col min="7683" max="7683" width="10.5703125" style="128" bestFit="1" customWidth="1"/>
    <col min="7684" max="7684" width="9.7109375" style="128" bestFit="1" customWidth="1"/>
    <col min="7685" max="7685" width="12.28515625" style="128" bestFit="1" customWidth="1"/>
    <col min="7686" max="7686" width="9.28515625" style="128" customWidth="1"/>
    <col min="7687" max="7687" width="8.28515625" style="128" bestFit="1" customWidth="1"/>
    <col min="7688" max="7688" width="9.140625" style="128" bestFit="1" customWidth="1"/>
    <col min="7689" max="7689" width="14" style="128" bestFit="1" customWidth="1"/>
    <col min="7690" max="7690" width="17.7109375" style="128" bestFit="1" customWidth="1"/>
    <col min="7691" max="7936" width="12.28515625" style="128"/>
    <col min="7937" max="7937" width="53.7109375" style="128" customWidth="1"/>
    <col min="7938" max="7938" width="12.28515625" style="128" bestFit="1" customWidth="1"/>
    <col min="7939" max="7939" width="10.5703125" style="128" bestFit="1" customWidth="1"/>
    <col min="7940" max="7940" width="9.7109375" style="128" bestFit="1" customWidth="1"/>
    <col min="7941" max="7941" width="12.28515625" style="128" bestFit="1" customWidth="1"/>
    <col min="7942" max="7942" width="9.28515625" style="128" customWidth="1"/>
    <col min="7943" max="7943" width="8.28515625" style="128" bestFit="1" customWidth="1"/>
    <col min="7944" max="7944" width="9.140625" style="128" bestFit="1" customWidth="1"/>
    <col min="7945" max="7945" width="14" style="128" bestFit="1" customWidth="1"/>
    <col min="7946" max="7946" width="17.7109375" style="128" bestFit="1" customWidth="1"/>
    <col min="7947" max="8192" width="12.28515625" style="128"/>
    <col min="8193" max="8193" width="53.7109375" style="128" customWidth="1"/>
    <col min="8194" max="8194" width="12.28515625" style="128" bestFit="1" customWidth="1"/>
    <col min="8195" max="8195" width="10.5703125" style="128" bestFit="1" customWidth="1"/>
    <col min="8196" max="8196" width="9.7109375" style="128" bestFit="1" customWidth="1"/>
    <col min="8197" max="8197" width="12.28515625" style="128" bestFit="1" customWidth="1"/>
    <col min="8198" max="8198" width="9.28515625" style="128" customWidth="1"/>
    <col min="8199" max="8199" width="8.28515625" style="128" bestFit="1" customWidth="1"/>
    <col min="8200" max="8200" width="9.140625" style="128" bestFit="1" customWidth="1"/>
    <col min="8201" max="8201" width="14" style="128" bestFit="1" customWidth="1"/>
    <col min="8202" max="8202" width="17.7109375" style="128" bestFit="1" customWidth="1"/>
    <col min="8203" max="8448" width="12.28515625" style="128"/>
    <col min="8449" max="8449" width="53.7109375" style="128" customWidth="1"/>
    <col min="8450" max="8450" width="12.28515625" style="128" bestFit="1" customWidth="1"/>
    <col min="8451" max="8451" width="10.5703125" style="128" bestFit="1" customWidth="1"/>
    <col min="8452" max="8452" width="9.7109375" style="128" bestFit="1" customWidth="1"/>
    <col min="8453" max="8453" width="12.28515625" style="128" bestFit="1" customWidth="1"/>
    <col min="8454" max="8454" width="9.28515625" style="128" customWidth="1"/>
    <col min="8455" max="8455" width="8.28515625" style="128" bestFit="1" customWidth="1"/>
    <col min="8456" max="8456" width="9.140625" style="128" bestFit="1" customWidth="1"/>
    <col min="8457" max="8457" width="14" style="128" bestFit="1" customWidth="1"/>
    <col min="8458" max="8458" width="17.7109375" style="128" bestFit="1" customWidth="1"/>
    <col min="8459" max="8704" width="12.28515625" style="128"/>
    <col min="8705" max="8705" width="53.7109375" style="128" customWidth="1"/>
    <col min="8706" max="8706" width="12.28515625" style="128" bestFit="1" customWidth="1"/>
    <col min="8707" max="8707" width="10.5703125" style="128" bestFit="1" customWidth="1"/>
    <col min="8708" max="8708" width="9.7109375" style="128" bestFit="1" customWidth="1"/>
    <col min="8709" max="8709" width="12.28515625" style="128" bestFit="1" customWidth="1"/>
    <col min="8710" max="8710" width="9.28515625" style="128" customWidth="1"/>
    <col min="8711" max="8711" width="8.28515625" style="128" bestFit="1" customWidth="1"/>
    <col min="8712" max="8712" width="9.140625" style="128" bestFit="1" customWidth="1"/>
    <col min="8713" max="8713" width="14" style="128" bestFit="1" customWidth="1"/>
    <col min="8714" max="8714" width="17.7109375" style="128" bestFit="1" customWidth="1"/>
    <col min="8715" max="8960" width="12.28515625" style="128"/>
    <col min="8961" max="8961" width="53.7109375" style="128" customWidth="1"/>
    <col min="8962" max="8962" width="12.28515625" style="128" bestFit="1" customWidth="1"/>
    <col min="8963" max="8963" width="10.5703125" style="128" bestFit="1" customWidth="1"/>
    <col min="8964" max="8964" width="9.7109375" style="128" bestFit="1" customWidth="1"/>
    <col min="8965" max="8965" width="12.28515625" style="128" bestFit="1" customWidth="1"/>
    <col min="8966" max="8966" width="9.28515625" style="128" customWidth="1"/>
    <col min="8967" max="8967" width="8.28515625" style="128" bestFit="1" customWidth="1"/>
    <col min="8968" max="8968" width="9.140625" style="128" bestFit="1" customWidth="1"/>
    <col min="8969" max="8969" width="14" style="128" bestFit="1" customWidth="1"/>
    <col min="8970" max="8970" width="17.7109375" style="128" bestFit="1" customWidth="1"/>
    <col min="8971" max="9216" width="12.28515625" style="128"/>
    <col min="9217" max="9217" width="53.7109375" style="128" customWidth="1"/>
    <col min="9218" max="9218" width="12.28515625" style="128" bestFit="1" customWidth="1"/>
    <col min="9219" max="9219" width="10.5703125" style="128" bestFit="1" customWidth="1"/>
    <col min="9220" max="9220" width="9.7109375" style="128" bestFit="1" customWidth="1"/>
    <col min="9221" max="9221" width="12.28515625" style="128" bestFit="1" customWidth="1"/>
    <col min="9222" max="9222" width="9.28515625" style="128" customWidth="1"/>
    <col min="9223" max="9223" width="8.28515625" style="128" bestFit="1" customWidth="1"/>
    <col min="9224" max="9224" width="9.140625" style="128" bestFit="1" customWidth="1"/>
    <col min="9225" max="9225" width="14" style="128" bestFit="1" customWidth="1"/>
    <col min="9226" max="9226" width="17.7109375" style="128" bestFit="1" customWidth="1"/>
    <col min="9227" max="9472" width="12.28515625" style="128"/>
    <col min="9473" max="9473" width="53.7109375" style="128" customWidth="1"/>
    <col min="9474" max="9474" width="12.28515625" style="128" bestFit="1" customWidth="1"/>
    <col min="9475" max="9475" width="10.5703125" style="128" bestFit="1" customWidth="1"/>
    <col min="9476" max="9476" width="9.7109375" style="128" bestFit="1" customWidth="1"/>
    <col min="9477" max="9477" width="12.28515625" style="128" bestFit="1" customWidth="1"/>
    <col min="9478" max="9478" width="9.28515625" style="128" customWidth="1"/>
    <col min="9479" max="9479" width="8.28515625" style="128" bestFit="1" customWidth="1"/>
    <col min="9480" max="9480" width="9.140625" style="128" bestFit="1" customWidth="1"/>
    <col min="9481" max="9481" width="14" style="128" bestFit="1" customWidth="1"/>
    <col min="9482" max="9482" width="17.7109375" style="128" bestFit="1" customWidth="1"/>
    <col min="9483" max="9728" width="12.28515625" style="128"/>
    <col min="9729" max="9729" width="53.7109375" style="128" customWidth="1"/>
    <col min="9730" max="9730" width="12.28515625" style="128" bestFit="1" customWidth="1"/>
    <col min="9731" max="9731" width="10.5703125" style="128" bestFit="1" customWidth="1"/>
    <col min="9732" max="9732" width="9.7109375" style="128" bestFit="1" customWidth="1"/>
    <col min="9733" max="9733" width="12.28515625" style="128" bestFit="1" customWidth="1"/>
    <col min="9734" max="9734" width="9.28515625" style="128" customWidth="1"/>
    <col min="9735" max="9735" width="8.28515625" style="128" bestFit="1" customWidth="1"/>
    <col min="9736" max="9736" width="9.140625" style="128" bestFit="1" customWidth="1"/>
    <col min="9737" max="9737" width="14" style="128" bestFit="1" customWidth="1"/>
    <col min="9738" max="9738" width="17.7109375" style="128" bestFit="1" customWidth="1"/>
    <col min="9739" max="9984" width="12.28515625" style="128"/>
    <col min="9985" max="9985" width="53.7109375" style="128" customWidth="1"/>
    <col min="9986" max="9986" width="12.28515625" style="128" bestFit="1" customWidth="1"/>
    <col min="9987" max="9987" width="10.5703125" style="128" bestFit="1" customWidth="1"/>
    <col min="9988" max="9988" width="9.7109375" style="128" bestFit="1" customWidth="1"/>
    <col min="9989" max="9989" width="12.28515625" style="128" bestFit="1" customWidth="1"/>
    <col min="9990" max="9990" width="9.28515625" style="128" customWidth="1"/>
    <col min="9991" max="9991" width="8.28515625" style="128" bestFit="1" customWidth="1"/>
    <col min="9992" max="9992" width="9.140625" style="128" bestFit="1" customWidth="1"/>
    <col min="9993" max="9993" width="14" style="128" bestFit="1" customWidth="1"/>
    <col min="9994" max="9994" width="17.7109375" style="128" bestFit="1" customWidth="1"/>
    <col min="9995" max="10240" width="12.28515625" style="128"/>
    <col min="10241" max="10241" width="53.7109375" style="128" customWidth="1"/>
    <col min="10242" max="10242" width="12.28515625" style="128" bestFit="1" customWidth="1"/>
    <col min="10243" max="10243" width="10.5703125" style="128" bestFit="1" customWidth="1"/>
    <col min="10244" max="10244" width="9.7109375" style="128" bestFit="1" customWidth="1"/>
    <col min="10245" max="10245" width="12.28515625" style="128" bestFit="1" customWidth="1"/>
    <col min="10246" max="10246" width="9.28515625" style="128" customWidth="1"/>
    <col min="10247" max="10247" width="8.28515625" style="128" bestFit="1" customWidth="1"/>
    <col min="10248" max="10248" width="9.140625" style="128" bestFit="1" customWidth="1"/>
    <col min="10249" max="10249" width="14" style="128" bestFit="1" customWidth="1"/>
    <col min="10250" max="10250" width="17.7109375" style="128" bestFit="1" customWidth="1"/>
    <col min="10251" max="10496" width="12.28515625" style="128"/>
    <col min="10497" max="10497" width="53.7109375" style="128" customWidth="1"/>
    <col min="10498" max="10498" width="12.28515625" style="128" bestFit="1" customWidth="1"/>
    <col min="10499" max="10499" width="10.5703125" style="128" bestFit="1" customWidth="1"/>
    <col min="10500" max="10500" width="9.7109375" style="128" bestFit="1" customWidth="1"/>
    <col min="10501" max="10501" width="12.28515625" style="128" bestFit="1" customWidth="1"/>
    <col min="10502" max="10502" width="9.28515625" style="128" customWidth="1"/>
    <col min="10503" max="10503" width="8.28515625" style="128" bestFit="1" customWidth="1"/>
    <col min="10504" max="10504" width="9.140625" style="128" bestFit="1" customWidth="1"/>
    <col min="10505" max="10505" width="14" style="128" bestFit="1" customWidth="1"/>
    <col min="10506" max="10506" width="17.7109375" style="128" bestFit="1" customWidth="1"/>
    <col min="10507" max="10752" width="12.28515625" style="128"/>
    <col min="10753" max="10753" width="53.7109375" style="128" customWidth="1"/>
    <col min="10754" max="10754" width="12.28515625" style="128" bestFit="1" customWidth="1"/>
    <col min="10755" max="10755" width="10.5703125" style="128" bestFit="1" customWidth="1"/>
    <col min="10756" max="10756" width="9.7109375" style="128" bestFit="1" customWidth="1"/>
    <col min="10757" max="10757" width="12.28515625" style="128" bestFit="1" customWidth="1"/>
    <col min="10758" max="10758" width="9.28515625" style="128" customWidth="1"/>
    <col min="10759" max="10759" width="8.28515625" style="128" bestFit="1" customWidth="1"/>
    <col min="10760" max="10760" width="9.140625" style="128" bestFit="1" customWidth="1"/>
    <col min="10761" max="10761" width="14" style="128" bestFit="1" customWidth="1"/>
    <col min="10762" max="10762" width="17.7109375" style="128" bestFit="1" customWidth="1"/>
    <col min="10763" max="11008" width="12.28515625" style="128"/>
    <col min="11009" max="11009" width="53.7109375" style="128" customWidth="1"/>
    <col min="11010" max="11010" width="12.28515625" style="128" bestFit="1" customWidth="1"/>
    <col min="11011" max="11011" width="10.5703125" style="128" bestFit="1" customWidth="1"/>
    <col min="11012" max="11012" width="9.7109375" style="128" bestFit="1" customWidth="1"/>
    <col min="11013" max="11013" width="12.28515625" style="128" bestFit="1" customWidth="1"/>
    <col min="11014" max="11014" width="9.28515625" style="128" customWidth="1"/>
    <col min="11015" max="11015" width="8.28515625" style="128" bestFit="1" customWidth="1"/>
    <col min="11016" max="11016" width="9.140625" style="128" bestFit="1" customWidth="1"/>
    <col min="11017" max="11017" width="14" style="128" bestFit="1" customWidth="1"/>
    <col min="11018" max="11018" width="17.7109375" style="128" bestFit="1" customWidth="1"/>
    <col min="11019" max="11264" width="12.28515625" style="128"/>
    <col min="11265" max="11265" width="53.7109375" style="128" customWidth="1"/>
    <col min="11266" max="11266" width="12.28515625" style="128" bestFit="1" customWidth="1"/>
    <col min="11267" max="11267" width="10.5703125" style="128" bestFit="1" customWidth="1"/>
    <col min="11268" max="11268" width="9.7109375" style="128" bestFit="1" customWidth="1"/>
    <col min="11269" max="11269" width="12.28515625" style="128" bestFit="1" customWidth="1"/>
    <col min="11270" max="11270" width="9.28515625" style="128" customWidth="1"/>
    <col min="11271" max="11271" width="8.28515625" style="128" bestFit="1" customWidth="1"/>
    <col min="11272" max="11272" width="9.140625" style="128" bestFit="1" customWidth="1"/>
    <col min="11273" max="11273" width="14" style="128" bestFit="1" customWidth="1"/>
    <col min="11274" max="11274" width="17.7109375" style="128" bestFit="1" customWidth="1"/>
    <col min="11275" max="11520" width="12.28515625" style="128"/>
    <col min="11521" max="11521" width="53.7109375" style="128" customWidth="1"/>
    <col min="11522" max="11522" width="12.28515625" style="128" bestFit="1" customWidth="1"/>
    <col min="11523" max="11523" width="10.5703125" style="128" bestFit="1" customWidth="1"/>
    <col min="11524" max="11524" width="9.7109375" style="128" bestFit="1" customWidth="1"/>
    <col min="11525" max="11525" width="12.28515625" style="128" bestFit="1" customWidth="1"/>
    <col min="11526" max="11526" width="9.28515625" style="128" customWidth="1"/>
    <col min="11527" max="11527" width="8.28515625" style="128" bestFit="1" customWidth="1"/>
    <col min="11528" max="11528" width="9.140625" style="128" bestFit="1" customWidth="1"/>
    <col min="11529" max="11529" width="14" style="128" bestFit="1" customWidth="1"/>
    <col min="11530" max="11530" width="17.7109375" style="128" bestFit="1" customWidth="1"/>
    <col min="11531" max="11776" width="12.28515625" style="128"/>
    <col min="11777" max="11777" width="53.7109375" style="128" customWidth="1"/>
    <col min="11778" max="11778" width="12.28515625" style="128" bestFit="1" customWidth="1"/>
    <col min="11779" max="11779" width="10.5703125" style="128" bestFit="1" customWidth="1"/>
    <col min="11780" max="11780" width="9.7109375" style="128" bestFit="1" customWidth="1"/>
    <col min="11781" max="11781" width="12.28515625" style="128" bestFit="1" customWidth="1"/>
    <col min="11782" max="11782" width="9.28515625" style="128" customWidth="1"/>
    <col min="11783" max="11783" width="8.28515625" style="128" bestFit="1" customWidth="1"/>
    <col min="11784" max="11784" width="9.140625" style="128" bestFit="1" customWidth="1"/>
    <col min="11785" max="11785" width="14" style="128" bestFit="1" customWidth="1"/>
    <col min="11786" max="11786" width="17.7109375" style="128" bestFit="1" customWidth="1"/>
    <col min="11787" max="12032" width="12.28515625" style="128"/>
    <col min="12033" max="12033" width="53.7109375" style="128" customWidth="1"/>
    <col min="12034" max="12034" width="12.28515625" style="128" bestFit="1" customWidth="1"/>
    <col min="12035" max="12035" width="10.5703125" style="128" bestFit="1" customWidth="1"/>
    <col min="12036" max="12036" width="9.7109375" style="128" bestFit="1" customWidth="1"/>
    <col min="12037" max="12037" width="12.28515625" style="128" bestFit="1" customWidth="1"/>
    <col min="12038" max="12038" width="9.28515625" style="128" customWidth="1"/>
    <col min="12039" max="12039" width="8.28515625" style="128" bestFit="1" customWidth="1"/>
    <col min="12040" max="12040" width="9.140625" style="128" bestFit="1" customWidth="1"/>
    <col min="12041" max="12041" width="14" style="128" bestFit="1" customWidth="1"/>
    <col min="12042" max="12042" width="17.7109375" style="128" bestFit="1" customWidth="1"/>
    <col min="12043" max="12288" width="12.28515625" style="128"/>
    <col min="12289" max="12289" width="53.7109375" style="128" customWidth="1"/>
    <col min="12290" max="12290" width="12.28515625" style="128" bestFit="1" customWidth="1"/>
    <col min="12291" max="12291" width="10.5703125" style="128" bestFit="1" customWidth="1"/>
    <col min="12292" max="12292" width="9.7109375" style="128" bestFit="1" customWidth="1"/>
    <col min="12293" max="12293" width="12.28515625" style="128" bestFit="1" customWidth="1"/>
    <col min="12294" max="12294" width="9.28515625" style="128" customWidth="1"/>
    <col min="12295" max="12295" width="8.28515625" style="128" bestFit="1" customWidth="1"/>
    <col min="12296" max="12296" width="9.140625" style="128" bestFit="1" customWidth="1"/>
    <col min="12297" max="12297" width="14" style="128" bestFit="1" customWidth="1"/>
    <col min="12298" max="12298" width="17.7109375" style="128" bestFit="1" customWidth="1"/>
    <col min="12299" max="12544" width="12.28515625" style="128"/>
    <col min="12545" max="12545" width="53.7109375" style="128" customWidth="1"/>
    <col min="12546" max="12546" width="12.28515625" style="128" bestFit="1" customWidth="1"/>
    <col min="12547" max="12547" width="10.5703125" style="128" bestFit="1" customWidth="1"/>
    <col min="12548" max="12548" width="9.7109375" style="128" bestFit="1" customWidth="1"/>
    <col min="12549" max="12549" width="12.28515625" style="128" bestFit="1" customWidth="1"/>
    <col min="12550" max="12550" width="9.28515625" style="128" customWidth="1"/>
    <col min="12551" max="12551" width="8.28515625" style="128" bestFit="1" customWidth="1"/>
    <col min="12552" max="12552" width="9.140625" style="128" bestFit="1" customWidth="1"/>
    <col min="12553" max="12553" width="14" style="128" bestFit="1" customWidth="1"/>
    <col min="12554" max="12554" width="17.7109375" style="128" bestFit="1" customWidth="1"/>
    <col min="12555" max="12800" width="12.28515625" style="128"/>
    <col min="12801" max="12801" width="53.7109375" style="128" customWidth="1"/>
    <col min="12802" max="12802" width="12.28515625" style="128" bestFit="1" customWidth="1"/>
    <col min="12803" max="12803" width="10.5703125" style="128" bestFit="1" customWidth="1"/>
    <col min="12804" max="12804" width="9.7109375" style="128" bestFit="1" customWidth="1"/>
    <col min="12805" max="12805" width="12.28515625" style="128" bestFit="1" customWidth="1"/>
    <col min="12806" max="12806" width="9.28515625" style="128" customWidth="1"/>
    <col min="12807" max="12807" width="8.28515625" style="128" bestFit="1" customWidth="1"/>
    <col min="12808" max="12808" width="9.140625" style="128" bestFit="1" customWidth="1"/>
    <col min="12809" max="12809" width="14" style="128" bestFit="1" customWidth="1"/>
    <col min="12810" max="12810" width="17.7109375" style="128" bestFit="1" customWidth="1"/>
    <col min="12811" max="13056" width="12.28515625" style="128"/>
    <col min="13057" max="13057" width="53.7109375" style="128" customWidth="1"/>
    <col min="13058" max="13058" width="12.28515625" style="128" bestFit="1" customWidth="1"/>
    <col min="13059" max="13059" width="10.5703125" style="128" bestFit="1" customWidth="1"/>
    <col min="13060" max="13060" width="9.7109375" style="128" bestFit="1" customWidth="1"/>
    <col min="13061" max="13061" width="12.28515625" style="128" bestFit="1" customWidth="1"/>
    <col min="13062" max="13062" width="9.28515625" style="128" customWidth="1"/>
    <col min="13063" max="13063" width="8.28515625" style="128" bestFit="1" customWidth="1"/>
    <col min="13064" max="13064" width="9.140625" style="128" bestFit="1" customWidth="1"/>
    <col min="13065" max="13065" width="14" style="128" bestFit="1" customWidth="1"/>
    <col min="13066" max="13066" width="17.7109375" style="128" bestFit="1" customWidth="1"/>
    <col min="13067" max="13312" width="12.28515625" style="128"/>
    <col min="13313" max="13313" width="53.7109375" style="128" customWidth="1"/>
    <col min="13314" max="13314" width="12.28515625" style="128" bestFit="1" customWidth="1"/>
    <col min="13315" max="13315" width="10.5703125" style="128" bestFit="1" customWidth="1"/>
    <col min="13316" max="13316" width="9.7109375" style="128" bestFit="1" customWidth="1"/>
    <col min="13317" max="13317" width="12.28515625" style="128" bestFit="1" customWidth="1"/>
    <col min="13318" max="13318" width="9.28515625" style="128" customWidth="1"/>
    <col min="13319" max="13319" width="8.28515625" style="128" bestFit="1" customWidth="1"/>
    <col min="13320" max="13320" width="9.140625" style="128" bestFit="1" customWidth="1"/>
    <col min="13321" max="13321" width="14" style="128" bestFit="1" customWidth="1"/>
    <col min="13322" max="13322" width="17.7109375" style="128" bestFit="1" customWidth="1"/>
    <col min="13323" max="13568" width="12.28515625" style="128"/>
    <col min="13569" max="13569" width="53.7109375" style="128" customWidth="1"/>
    <col min="13570" max="13570" width="12.28515625" style="128" bestFit="1" customWidth="1"/>
    <col min="13571" max="13571" width="10.5703125" style="128" bestFit="1" customWidth="1"/>
    <col min="13572" max="13572" width="9.7109375" style="128" bestFit="1" customWidth="1"/>
    <col min="13573" max="13573" width="12.28515625" style="128" bestFit="1" customWidth="1"/>
    <col min="13574" max="13574" width="9.28515625" style="128" customWidth="1"/>
    <col min="13575" max="13575" width="8.28515625" style="128" bestFit="1" customWidth="1"/>
    <col min="13576" max="13576" width="9.140625" style="128" bestFit="1" customWidth="1"/>
    <col min="13577" max="13577" width="14" style="128" bestFit="1" customWidth="1"/>
    <col min="13578" max="13578" width="17.7109375" style="128" bestFit="1" customWidth="1"/>
    <col min="13579" max="13824" width="12.28515625" style="128"/>
    <col min="13825" max="13825" width="53.7109375" style="128" customWidth="1"/>
    <col min="13826" max="13826" width="12.28515625" style="128" bestFit="1" customWidth="1"/>
    <col min="13827" max="13827" width="10.5703125" style="128" bestFit="1" customWidth="1"/>
    <col min="13828" max="13828" width="9.7109375" style="128" bestFit="1" customWidth="1"/>
    <col min="13829" max="13829" width="12.28515625" style="128" bestFit="1" customWidth="1"/>
    <col min="13830" max="13830" width="9.28515625" style="128" customWidth="1"/>
    <col min="13831" max="13831" width="8.28515625" style="128" bestFit="1" customWidth="1"/>
    <col min="13832" max="13832" width="9.140625" style="128" bestFit="1" customWidth="1"/>
    <col min="13833" max="13833" width="14" style="128" bestFit="1" customWidth="1"/>
    <col min="13834" max="13834" width="17.7109375" style="128" bestFit="1" customWidth="1"/>
    <col min="13835" max="14080" width="12.28515625" style="128"/>
    <col min="14081" max="14081" width="53.7109375" style="128" customWidth="1"/>
    <col min="14082" max="14082" width="12.28515625" style="128" bestFit="1" customWidth="1"/>
    <col min="14083" max="14083" width="10.5703125" style="128" bestFit="1" customWidth="1"/>
    <col min="14084" max="14084" width="9.7109375" style="128" bestFit="1" customWidth="1"/>
    <col min="14085" max="14085" width="12.28515625" style="128" bestFit="1" customWidth="1"/>
    <col min="14086" max="14086" width="9.28515625" style="128" customWidth="1"/>
    <col min="14087" max="14087" width="8.28515625" style="128" bestFit="1" customWidth="1"/>
    <col min="14088" max="14088" width="9.140625" style="128" bestFit="1" customWidth="1"/>
    <col min="14089" max="14089" width="14" style="128" bestFit="1" customWidth="1"/>
    <col min="14090" max="14090" width="17.7109375" style="128" bestFit="1" customWidth="1"/>
    <col min="14091" max="14336" width="12.28515625" style="128"/>
    <col min="14337" max="14337" width="53.7109375" style="128" customWidth="1"/>
    <col min="14338" max="14338" width="12.28515625" style="128" bestFit="1" customWidth="1"/>
    <col min="14339" max="14339" width="10.5703125" style="128" bestFit="1" customWidth="1"/>
    <col min="14340" max="14340" width="9.7109375" style="128" bestFit="1" customWidth="1"/>
    <col min="14341" max="14341" width="12.28515625" style="128" bestFit="1" customWidth="1"/>
    <col min="14342" max="14342" width="9.28515625" style="128" customWidth="1"/>
    <col min="14343" max="14343" width="8.28515625" style="128" bestFit="1" customWidth="1"/>
    <col min="14344" max="14344" width="9.140625" style="128" bestFit="1" customWidth="1"/>
    <col min="14345" max="14345" width="14" style="128" bestFit="1" customWidth="1"/>
    <col min="14346" max="14346" width="17.7109375" style="128" bestFit="1" customWidth="1"/>
    <col min="14347" max="14592" width="12.28515625" style="128"/>
    <col min="14593" max="14593" width="53.7109375" style="128" customWidth="1"/>
    <col min="14594" max="14594" width="12.28515625" style="128" bestFit="1" customWidth="1"/>
    <col min="14595" max="14595" width="10.5703125" style="128" bestFit="1" customWidth="1"/>
    <col min="14596" max="14596" width="9.7109375" style="128" bestFit="1" customWidth="1"/>
    <col min="14597" max="14597" width="12.28515625" style="128" bestFit="1" customWidth="1"/>
    <col min="14598" max="14598" width="9.28515625" style="128" customWidth="1"/>
    <col min="14599" max="14599" width="8.28515625" style="128" bestFit="1" customWidth="1"/>
    <col min="14600" max="14600" width="9.140625" style="128" bestFit="1" customWidth="1"/>
    <col min="14601" max="14601" width="14" style="128" bestFit="1" customWidth="1"/>
    <col min="14602" max="14602" width="17.7109375" style="128" bestFit="1" customWidth="1"/>
    <col min="14603" max="14848" width="12.28515625" style="128"/>
    <col min="14849" max="14849" width="53.7109375" style="128" customWidth="1"/>
    <col min="14850" max="14850" width="12.28515625" style="128" bestFit="1" customWidth="1"/>
    <col min="14851" max="14851" width="10.5703125" style="128" bestFit="1" customWidth="1"/>
    <col min="14852" max="14852" width="9.7109375" style="128" bestFit="1" customWidth="1"/>
    <col min="14853" max="14853" width="12.28515625" style="128" bestFit="1" customWidth="1"/>
    <col min="14854" max="14854" width="9.28515625" style="128" customWidth="1"/>
    <col min="14855" max="14855" width="8.28515625" style="128" bestFit="1" customWidth="1"/>
    <col min="14856" max="14856" width="9.140625" style="128" bestFit="1" customWidth="1"/>
    <col min="14857" max="14857" width="14" style="128" bestFit="1" customWidth="1"/>
    <col min="14858" max="14858" width="17.7109375" style="128" bestFit="1" customWidth="1"/>
    <col min="14859" max="15104" width="12.28515625" style="128"/>
    <col min="15105" max="15105" width="53.7109375" style="128" customWidth="1"/>
    <col min="15106" max="15106" width="12.28515625" style="128" bestFit="1" customWidth="1"/>
    <col min="15107" max="15107" width="10.5703125" style="128" bestFit="1" customWidth="1"/>
    <col min="15108" max="15108" width="9.7109375" style="128" bestFit="1" customWidth="1"/>
    <col min="15109" max="15109" width="12.28515625" style="128" bestFit="1" customWidth="1"/>
    <col min="15110" max="15110" width="9.28515625" style="128" customWidth="1"/>
    <col min="15111" max="15111" width="8.28515625" style="128" bestFit="1" customWidth="1"/>
    <col min="15112" max="15112" width="9.140625" style="128" bestFit="1" customWidth="1"/>
    <col min="15113" max="15113" width="14" style="128" bestFit="1" customWidth="1"/>
    <col min="15114" max="15114" width="17.7109375" style="128" bestFit="1" customWidth="1"/>
    <col min="15115" max="15360" width="12.28515625" style="128"/>
    <col min="15361" max="15361" width="53.7109375" style="128" customWidth="1"/>
    <col min="15362" max="15362" width="12.28515625" style="128" bestFit="1" customWidth="1"/>
    <col min="15363" max="15363" width="10.5703125" style="128" bestFit="1" customWidth="1"/>
    <col min="15364" max="15364" width="9.7109375" style="128" bestFit="1" customWidth="1"/>
    <col min="15365" max="15365" width="12.28515625" style="128" bestFit="1" customWidth="1"/>
    <col min="15366" max="15366" width="9.28515625" style="128" customWidth="1"/>
    <col min="15367" max="15367" width="8.28515625" style="128" bestFit="1" customWidth="1"/>
    <col min="15368" max="15368" width="9.140625" style="128" bestFit="1" customWidth="1"/>
    <col min="15369" max="15369" width="14" style="128" bestFit="1" customWidth="1"/>
    <col min="15370" max="15370" width="17.7109375" style="128" bestFit="1" customWidth="1"/>
    <col min="15371" max="15616" width="12.28515625" style="128"/>
    <col min="15617" max="15617" width="53.7109375" style="128" customWidth="1"/>
    <col min="15618" max="15618" width="12.28515625" style="128" bestFit="1" customWidth="1"/>
    <col min="15619" max="15619" width="10.5703125" style="128" bestFit="1" customWidth="1"/>
    <col min="15620" max="15620" width="9.7109375" style="128" bestFit="1" customWidth="1"/>
    <col min="15621" max="15621" width="12.28515625" style="128" bestFit="1" customWidth="1"/>
    <col min="15622" max="15622" width="9.28515625" style="128" customWidth="1"/>
    <col min="15623" max="15623" width="8.28515625" style="128" bestFit="1" customWidth="1"/>
    <col min="15624" max="15624" width="9.140625" style="128" bestFit="1" customWidth="1"/>
    <col min="15625" max="15625" width="14" style="128" bestFit="1" customWidth="1"/>
    <col min="15626" max="15626" width="17.7109375" style="128" bestFit="1" customWidth="1"/>
    <col min="15627" max="15872" width="12.28515625" style="128"/>
    <col min="15873" max="15873" width="53.7109375" style="128" customWidth="1"/>
    <col min="15874" max="15874" width="12.28515625" style="128" bestFit="1" customWidth="1"/>
    <col min="15875" max="15875" width="10.5703125" style="128" bestFit="1" customWidth="1"/>
    <col min="15876" max="15876" width="9.7109375" style="128" bestFit="1" customWidth="1"/>
    <col min="15877" max="15877" width="12.28515625" style="128" bestFit="1" customWidth="1"/>
    <col min="15878" max="15878" width="9.28515625" style="128" customWidth="1"/>
    <col min="15879" max="15879" width="8.28515625" style="128" bestFit="1" customWidth="1"/>
    <col min="15880" max="15880" width="9.140625" style="128" bestFit="1" customWidth="1"/>
    <col min="15881" max="15881" width="14" style="128" bestFit="1" customWidth="1"/>
    <col min="15882" max="15882" width="17.7109375" style="128" bestFit="1" customWidth="1"/>
    <col min="15883" max="16128" width="12.28515625" style="128"/>
    <col min="16129" max="16129" width="53.7109375" style="128" customWidth="1"/>
    <col min="16130" max="16130" width="12.28515625" style="128" bestFit="1" customWidth="1"/>
    <col min="16131" max="16131" width="10.5703125" style="128" bestFit="1" customWidth="1"/>
    <col min="16132" max="16132" width="9.7109375" style="128" bestFit="1" customWidth="1"/>
    <col min="16133" max="16133" width="12.28515625" style="128" bestFit="1" customWidth="1"/>
    <col min="16134" max="16134" width="9.28515625" style="128" customWidth="1"/>
    <col min="16135" max="16135" width="8.28515625" style="128" bestFit="1" customWidth="1"/>
    <col min="16136" max="16136" width="9.140625" style="128" bestFit="1" customWidth="1"/>
    <col min="16137" max="16137" width="14" style="128" bestFit="1" customWidth="1"/>
    <col min="16138" max="16138" width="17.7109375" style="128" bestFit="1" customWidth="1"/>
    <col min="16139" max="16384" width="12.28515625" style="128"/>
  </cols>
  <sheetData>
    <row r="1" spans="1:248" ht="15.75">
      <c r="A1" s="124"/>
      <c r="B1" s="124"/>
      <c r="C1" s="125"/>
      <c r="D1" s="124"/>
      <c r="E1" s="124"/>
      <c r="F1" s="126"/>
      <c r="G1" s="124"/>
      <c r="H1" s="124"/>
      <c r="I1" s="127"/>
      <c r="J1" s="233" t="s">
        <v>271</v>
      </c>
    </row>
    <row r="2" spans="1:248" ht="25.5" customHeight="1">
      <c r="A2" s="244" t="s">
        <v>191</v>
      </c>
      <c r="B2" s="244"/>
      <c r="C2" s="244"/>
      <c r="D2" s="244"/>
      <c r="E2" s="244"/>
      <c r="F2" s="244"/>
      <c r="G2" s="244"/>
      <c r="H2" s="244"/>
      <c r="I2" s="127"/>
    </row>
    <row r="3" spans="1:248" ht="15.75">
      <c r="A3" s="245" t="s">
        <v>192</v>
      </c>
      <c r="B3" s="245"/>
      <c r="C3" s="245"/>
      <c r="D3" s="245"/>
      <c r="E3" s="245"/>
      <c r="F3" s="245"/>
      <c r="G3" s="245"/>
      <c r="H3" s="245"/>
      <c r="I3" s="127"/>
    </row>
    <row r="4" spans="1:248" ht="8.1" customHeight="1">
      <c r="A4" s="129"/>
      <c r="B4" s="129"/>
      <c r="C4" s="130"/>
      <c r="D4" s="129"/>
      <c r="E4" s="129"/>
      <c r="F4" s="130"/>
      <c r="G4" s="129"/>
      <c r="H4" s="129"/>
      <c r="I4" s="127"/>
    </row>
    <row r="5" spans="1:248" ht="18.75">
      <c r="A5" s="244" t="s">
        <v>193</v>
      </c>
      <c r="B5" s="244"/>
      <c r="C5" s="244"/>
      <c r="D5" s="244"/>
      <c r="E5" s="244"/>
      <c r="F5" s="244"/>
      <c r="G5" s="244"/>
      <c r="H5" s="244"/>
      <c r="I5" s="131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2"/>
      <c r="EF5" s="132"/>
      <c r="EG5" s="132"/>
      <c r="EH5" s="132"/>
      <c r="EI5" s="132"/>
      <c r="EJ5" s="132"/>
      <c r="EK5" s="132"/>
      <c r="EL5" s="132"/>
      <c r="EM5" s="132"/>
      <c r="EN5" s="132"/>
      <c r="EO5" s="132"/>
      <c r="EP5" s="132"/>
      <c r="EQ5" s="132"/>
      <c r="ER5" s="132"/>
      <c r="ES5" s="132"/>
      <c r="ET5" s="132"/>
      <c r="EU5" s="132"/>
      <c r="EV5" s="132"/>
      <c r="EW5" s="132"/>
      <c r="EX5" s="132"/>
      <c r="EY5" s="132"/>
      <c r="EZ5" s="132"/>
      <c r="FA5" s="132"/>
      <c r="FB5" s="132"/>
      <c r="FC5" s="132"/>
      <c r="FD5" s="132"/>
      <c r="FE5" s="132"/>
      <c r="FF5" s="132"/>
      <c r="FG5" s="132"/>
      <c r="FH5" s="132"/>
      <c r="FI5" s="132"/>
      <c r="FJ5" s="132"/>
      <c r="FK5" s="132"/>
      <c r="FL5" s="132"/>
      <c r="FM5" s="132"/>
      <c r="FN5" s="132"/>
      <c r="FO5" s="132"/>
      <c r="FP5" s="132"/>
      <c r="FQ5" s="132"/>
      <c r="FR5" s="132"/>
      <c r="FS5" s="132"/>
      <c r="FT5" s="132"/>
      <c r="FU5" s="132"/>
      <c r="FV5" s="132"/>
      <c r="FW5" s="132"/>
      <c r="FX5" s="132"/>
      <c r="FY5" s="132"/>
      <c r="FZ5" s="132"/>
      <c r="GA5" s="132"/>
      <c r="GB5" s="132"/>
      <c r="GC5" s="132"/>
      <c r="GD5" s="132"/>
      <c r="GE5" s="132"/>
      <c r="GF5" s="132"/>
      <c r="GG5" s="132"/>
      <c r="GH5" s="132"/>
      <c r="GI5" s="132"/>
      <c r="GJ5" s="132"/>
      <c r="GK5" s="132"/>
      <c r="GL5" s="132"/>
      <c r="GM5" s="132"/>
      <c r="GN5" s="132"/>
      <c r="GO5" s="132"/>
      <c r="GP5" s="132"/>
      <c r="GQ5" s="132"/>
      <c r="GR5" s="132"/>
      <c r="GS5" s="132"/>
      <c r="GT5" s="132"/>
      <c r="GU5" s="132"/>
      <c r="GV5" s="132"/>
      <c r="GW5" s="132"/>
      <c r="GX5" s="132"/>
      <c r="GY5" s="132"/>
      <c r="GZ5" s="132"/>
      <c r="HA5" s="132"/>
      <c r="HB5" s="132"/>
      <c r="HC5" s="132"/>
      <c r="HD5" s="132"/>
      <c r="HE5" s="132"/>
      <c r="HF5" s="132"/>
      <c r="HG5" s="132"/>
      <c r="HH5" s="132"/>
      <c r="HI5" s="132"/>
      <c r="HJ5" s="132"/>
      <c r="HK5" s="132"/>
      <c r="HL5" s="132"/>
      <c r="HM5" s="132"/>
      <c r="HN5" s="132"/>
      <c r="HO5" s="132"/>
      <c r="HP5" s="132"/>
      <c r="HQ5" s="132"/>
      <c r="HR5" s="132"/>
      <c r="HS5" s="132"/>
      <c r="HT5" s="132"/>
      <c r="HU5" s="132"/>
      <c r="HV5" s="132"/>
      <c r="HW5" s="132"/>
      <c r="HX5" s="132"/>
      <c r="HY5" s="132"/>
      <c r="HZ5" s="132"/>
      <c r="IA5" s="132"/>
      <c r="IB5" s="132"/>
      <c r="IC5" s="132"/>
      <c r="ID5" s="132"/>
      <c r="IE5" s="132"/>
      <c r="IF5" s="132"/>
      <c r="IG5" s="132"/>
      <c r="IH5" s="132"/>
      <c r="II5" s="132"/>
      <c r="IJ5" s="132"/>
      <c r="IK5" s="132"/>
      <c r="IL5" s="132"/>
      <c r="IM5" s="132"/>
      <c r="IN5" s="132"/>
    </row>
    <row r="6" spans="1:248" ht="18.75">
      <c r="A6" s="244" t="s">
        <v>194</v>
      </c>
      <c r="B6" s="244"/>
      <c r="C6" s="244"/>
      <c r="D6" s="244"/>
      <c r="E6" s="244"/>
      <c r="F6" s="244"/>
      <c r="G6" s="244"/>
      <c r="H6" s="244"/>
      <c r="I6" s="131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2"/>
      <c r="CS6" s="132"/>
      <c r="CT6" s="132"/>
      <c r="CU6" s="132"/>
      <c r="CV6" s="132"/>
      <c r="CW6" s="132"/>
      <c r="CX6" s="132"/>
      <c r="CY6" s="132"/>
      <c r="CZ6" s="132"/>
      <c r="DA6" s="132"/>
      <c r="DB6" s="132"/>
      <c r="DC6" s="132"/>
      <c r="DD6" s="132"/>
      <c r="DE6" s="132"/>
      <c r="DF6" s="132"/>
      <c r="DG6" s="132"/>
      <c r="DH6" s="132"/>
      <c r="DI6" s="132"/>
      <c r="DJ6" s="132"/>
      <c r="DK6" s="132"/>
      <c r="DL6" s="132"/>
      <c r="DM6" s="132"/>
      <c r="DN6" s="132"/>
      <c r="DO6" s="132"/>
      <c r="DP6" s="132"/>
      <c r="DQ6" s="132"/>
      <c r="DR6" s="132"/>
      <c r="DS6" s="132"/>
      <c r="DT6" s="132"/>
      <c r="DU6" s="132"/>
      <c r="DV6" s="132"/>
      <c r="DW6" s="132"/>
      <c r="DX6" s="132"/>
      <c r="DY6" s="132"/>
      <c r="DZ6" s="132"/>
      <c r="EA6" s="132"/>
      <c r="EB6" s="132"/>
      <c r="EC6" s="132"/>
      <c r="ED6" s="132"/>
      <c r="EE6" s="132"/>
      <c r="EF6" s="132"/>
      <c r="EG6" s="132"/>
      <c r="EH6" s="132"/>
      <c r="EI6" s="132"/>
      <c r="EJ6" s="132"/>
      <c r="EK6" s="132"/>
      <c r="EL6" s="132"/>
      <c r="EM6" s="132"/>
      <c r="EN6" s="132"/>
      <c r="EO6" s="132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32"/>
      <c r="FA6" s="132"/>
      <c r="FB6" s="132"/>
      <c r="FC6" s="132"/>
      <c r="FD6" s="132"/>
      <c r="FE6" s="132"/>
      <c r="FF6" s="132"/>
      <c r="FG6" s="132"/>
      <c r="FH6" s="132"/>
      <c r="FI6" s="132"/>
      <c r="FJ6" s="132"/>
      <c r="FK6" s="132"/>
      <c r="FL6" s="132"/>
      <c r="FM6" s="132"/>
      <c r="FN6" s="132"/>
      <c r="FO6" s="132"/>
      <c r="FP6" s="132"/>
      <c r="FQ6" s="132"/>
      <c r="FR6" s="132"/>
      <c r="FS6" s="132"/>
      <c r="FT6" s="132"/>
      <c r="FU6" s="132"/>
      <c r="FV6" s="132"/>
      <c r="FW6" s="132"/>
      <c r="FX6" s="132"/>
      <c r="FY6" s="132"/>
      <c r="FZ6" s="132"/>
      <c r="GA6" s="132"/>
      <c r="GB6" s="132"/>
      <c r="GC6" s="132"/>
      <c r="GD6" s="132"/>
      <c r="GE6" s="132"/>
      <c r="GF6" s="132"/>
      <c r="GG6" s="132"/>
      <c r="GH6" s="132"/>
      <c r="GI6" s="132"/>
      <c r="GJ6" s="132"/>
      <c r="GK6" s="132"/>
      <c r="GL6" s="132"/>
      <c r="GM6" s="132"/>
      <c r="GN6" s="132"/>
      <c r="GO6" s="132"/>
      <c r="GP6" s="132"/>
      <c r="GQ6" s="132"/>
      <c r="GR6" s="132"/>
      <c r="GS6" s="132"/>
      <c r="GT6" s="132"/>
      <c r="GU6" s="132"/>
      <c r="GV6" s="132"/>
      <c r="GW6" s="132"/>
      <c r="GX6" s="132"/>
      <c r="GY6" s="132"/>
      <c r="GZ6" s="132"/>
      <c r="HA6" s="132"/>
      <c r="HB6" s="132"/>
      <c r="HC6" s="132"/>
      <c r="HD6" s="132"/>
      <c r="HE6" s="132"/>
      <c r="HF6" s="132"/>
      <c r="HG6" s="132"/>
      <c r="HH6" s="132"/>
      <c r="HI6" s="132"/>
      <c r="HJ6" s="132"/>
      <c r="HK6" s="132"/>
      <c r="HL6" s="132"/>
      <c r="HM6" s="132"/>
      <c r="HN6" s="132"/>
      <c r="HO6" s="132"/>
      <c r="HP6" s="132"/>
      <c r="HQ6" s="132"/>
      <c r="HR6" s="132"/>
      <c r="HS6" s="132"/>
      <c r="HT6" s="132"/>
      <c r="HU6" s="132"/>
      <c r="HV6" s="132"/>
      <c r="HW6" s="132"/>
      <c r="HX6" s="132"/>
      <c r="HY6" s="132"/>
      <c r="HZ6" s="132"/>
      <c r="IA6" s="132"/>
      <c r="IB6" s="132"/>
      <c r="IC6" s="132"/>
      <c r="ID6" s="132"/>
      <c r="IE6" s="132"/>
      <c r="IF6" s="132"/>
      <c r="IG6" s="132"/>
      <c r="IH6" s="132"/>
      <c r="II6" s="132"/>
      <c r="IJ6" s="132"/>
      <c r="IK6" s="132"/>
      <c r="IL6" s="132"/>
      <c r="IM6" s="132"/>
      <c r="IN6" s="132"/>
    </row>
    <row r="7" spans="1:248" ht="6" customHeight="1" thickBot="1">
      <c r="A7" s="133"/>
      <c r="B7" s="133"/>
      <c r="C7" s="134"/>
      <c r="D7" s="133"/>
      <c r="E7" s="133"/>
      <c r="G7" s="133"/>
      <c r="H7" s="133"/>
      <c r="I7" s="127"/>
    </row>
    <row r="8" spans="1:248" s="19" customFormat="1" ht="16.5" customHeight="1">
      <c r="A8" s="246" t="s">
        <v>195</v>
      </c>
      <c r="B8" s="242" t="s">
        <v>196</v>
      </c>
      <c r="C8" s="242" t="s">
        <v>272</v>
      </c>
      <c r="D8" s="242" t="s">
        <v>197</v>
      </c>
      <c r="E8" s="248" t="s">
        <v>198</v>
      </c>
      <c r="F8" s="248" t="s">
        <v>273</v>
      </c>
      <c r="G8" s="242" t="s">
        <v>197</v>
      </c>
      <c r="H8" s="242" t="s">
        <v>199</v>
      </c>
      <c r="I8" s="136"/>
    </row>
    <row r="9" spans="1:248" s="19" customFormat="1" ht="23.25" customHeight="1" thickBot="1">
      <c r="A9" s="247"/>
      <c r="B9" s="243"/>
      <c r="C9" s="243"/>
      <c r="D9" s="243"/>
      <c r="E9" s="249"/>
      <c r="F9" s="249"/>
      <c r="G9" s="243"/>
      <c r="H9" s="243"/>
      <c r="I9" s="136"/>
    </row>
    <row r="10" spans="1:248" s="26" customFormat="1" ht="12.75">
      <c r="A10" s="137" t="s">
        <v>48</v>
      </c>
      <c r="B10" s="138">
        <v>39947.773484425998</v>
      </c>
      <c r="C10" s="138">
        <f>IF($A10="","",SUM('Situfin serie mensual'!GL2:GS2))</f>
        <v>22080.738495278001</v>
      </c>
      <c r="D10" s="138">
        <f>IFERROR((C10/B10*100),0)</f>
        <v>55.274015468938153</v>
      </c>
      <c r="E10" s="138">
        <v>41167.228306788005</v>
      </c>
      <c r="F10" s="138">
        <f>IF($A10="","",'2'!N10)</f>
        <v>20075.617786611001</v>
      </c>
      <c r="G10" s="138">
        <f>IFERROR((F10/E10*100),0)</f>
        <v>48.766017563783279</v>
      </c>
      <c r="H10" s="138">
        <f>IF(C10&lt;&gt;0,F10/C10*100-100," ")</f>
        <v>-9.0808589083005415</v>
      </c>
      <c r="I10" s="139"/>
    </row>
    <row r="11" spans="1:248" s="26" customFormat="1" ht="6.75" customHeight="1">
      <c r="A11" s="137"/>
      <c r="B11" s="138"/>
      <c r="C11" s="138" t="s">
        <v>200</v>
      </c>
      <c r="D11" s="138"/>
      <c r="E11" s="138"/>
      <c r="F11" s="138" t="str">
        <f>IF($A11="","",'2'!N11)</f>
        <v/>
      </c>
      <c r="G11" s="138"/>
      <c r="H11" s="138"/>
      <c r="I11" s="139"/>
    </row>
    <row r="12" spans="1:248" s="26" customFormat="1" ht="12.75" outlineLevel="1">
      <c r="A12" s="69" t="s">
        <v>49</v>
      </c>
      <c r="B12" s="140">
        <v>25270.103617968998</v>
      </c>
      <c r="C12" s="140">
        <f>IF($A12="","",SUM('Situfin serie mensual'!GL4:GS4))</f>
        <v>15524.317991215999</v>
      </c>
      <c r="D12" s="140">
        <f>IFERROR((C12/B12*100),0)</f>
        <v>61.433535160405953</v>
      </c>
      <c r="E12" s="140">
        <v>25782.067270471005</v>
      </c>
      <c r="F12" s="140">
        <f>IF($A12="","",'2'!N12)</f>
        <v>13706.866171352998</v>
      </c>
      <c r="G12" s="140">
        <f>IFERROR((F12/E12*100),0)</f>
        <v>53.164341042007493</v>
      </c>
      <c r="H12" s="140">
        <f>IF(C12&lt;&gt;0,F12/C12*100-100," ")</f>
        <v>-11.707128267350328</v>
      </c>
      <c r="I12" s="139"/>
      <c r="L12" s="141"/>
    </row>
    <row r="13" spans="1:248" s="143" customFormat="1" ht="6" customHeight="1">
      <c r="A13" s="70"/>
      <c r="B13" s="142"/>
      <c r="C13" s="142"/>
      <c r="D13" s="142"/>
      <c r="E13" s="234"/>
      <c r="F13" s="234" t="str">
        <f>IF($A13="","",'2'!N13)</f>
        <v/>
      </c>
      <c r="G13" s="142"/>
      <c r="H13" s="142"/>
      <c r="I13" s="139"/>
    </row>
    <row r="14" spans="1:248" s="32" customFormat="1" ht="12.75" outlineLevel="2">
      <c r="A14" s="69" t="s">
        <v>57</v>
      </c>
      <c r="B14" s="140">
        <v>2860.9405659309996</v>
      </c>
      <c r="C14" s="140">
        <f>IF($A14="","",SUM('Situfin serie mensual'!GL13:GS13))</f>
        <v>1448.4645907260001</v>
      </c>
      <c r="D14" s="140">
        <f>IFERROR((C14/B14*100),0)</f>
        <v>50.628964752878204</v>
      </c>
      <c r="E14" s="235">
        <v>3162.4797641649998</v>
      </c>
      <c r="F14" s="235">
        <f>IF($A14="","",'2'!N14)</f>
        <v>1725.01017305</v>
      </c>
      <c r="G14" s="140">
        <f>IFERROR((F14/E14*100),0)</f>
        <v>54.546125246289456</v>
      </c>
      <c r="H14" s="140">
        <f>IF(C14&lt;&gt;0,F14/C14*100-100," ")</f>
        <v>19.092326046119609</v>
      </c>
      <c r="I14" s="139"/>
      <c r="L14" s="144"/>
    </row>
    <row r="15" spans="1:248" s="143" customFormat="1" ht="8.25" customHeight="1">
      <c r="A15" s="70"/>
      <c r="B15" s="142"/>
      <c r="C15" s="142" t="str">
        <f>IF($A15="","",SUM('Situfin serie mensual'!GL14:GS14))</f>
        <v/>
      </c>
      <c r="D15" s="142"/>
      <c r="E15" s="234"/>
      <c r="F15" s="234" t="str">
        <f>IF($A15="","",'2'!N15)</f>
        <v/>
      </c>
      <c r="G15" s="142"/>
      <c r="H15" s="142"/>
      <c r="I15" s="139"/>
    </row>
    <row r="16" spans="1:248" s="32" customFormat="1" ht="12.75" outlineLevel="2">
      <c r="A16" s="69" t="s">
        <v>10</v>
      </c>
      <c r="B16" s="140">
        <v>2575.1407204270004</v>
      </c>
      <c r="C16" s="140">
        <f>IF($A16="","",SUM('Situfin serie mensual'!GL15:GS15))</f>
        <v>748.88536664700007</v>
      </c>
      <c r="D16" s="140">
        <f t="shared" ref="D16:D33" si="0">IFERROR((C16/B16*100),0)</f>
        <v>29.081337602506736</v>
      </c>
      <c r="E16" s="235">
        <v>2917.476819732</v>
      </c>
      <c r="F16" s="235">
        <f>IF($A16="","",'2'!N16)</f>
        <v>750.71426861500004</v>
      </c>
      <c r="G16" s="140">
        <f t="shared" ref="G16:G33" si="1">IFERROR((F16/E16*100),0)</f>
        <v>25.731627532998214</v>
      </c>
      <c r="H16" s="140">
        <f t="shared" ref="H16:H33" si="2">IF(C16&lt;&gt;0,F16/C16*100-100," ")</f>
        <v>0.24421654494179279</v>
      </c>
      <c r="I16" s="139"/>
    </row>
    <row r="17" spans="1:11" s="143" customFormat="1" ht="12.75" customHeight="1">
      <c r="A17" s="70" t="s">
        <v>201</v>
      </c>
      <c r="B17" s="142">
        <v>1219.872871151</v>
      </c>
      <c r="C17" s="142">
        <f>IF($A17="","",SUM('Situfin serie mensual'!GL16:GS16))</f>
        <v>29.489185000000003</v>
      </c>
      <c r="D17" s="142">
        <f t="shared" si="0"/>
        <v>2.4173982139774739</v>
      </c>
      <c r="E17" s="234">
        <v>1527.4044568620002</v>
      </c>
      <c r="F17" s="234">
        <f>IF($A17="","",'2'!N17)</f>
        <v>64.962595730000004</v>
      </c>
      <c r="G17" s="142">
        <f t="shared" si="1"/>
        <v>4.2531364523751236</v>
      </c>
      <c r="H17" s="142">
        <f t="shared" si="2"/>
        <v>120.2929505511936</v>
      </c>
      <c r="I17" s="139"/>
    </row>
    <row r="18" spans="1:11" s="143" customFormat="1" ht="12.75" customHeight="1">
      <c r="A18" s="70" t="s">
        <v>202</v>
      </c>
      <c r="B18" s="142">
        <v>76.050600000000003</v>
      </c>
      <c r="C18" s="142">
        <f>IF($A18="","",SUM('Situfin serie mensual'!GL17:GS17))</f>
        <v>0</v>
      </c>
      <c r="D18" s="142">
        <f t="shared" si="0"/>
        <v>0</v>
      </c>
      <c r="E18" s="234">
        <v>84.170189979</v>
      </c>
      <c r="F18" s="234">
        <f>IF($A18="","",'2'!N18)</f>
        <v>0</v>
      </c>
      <c r="G18" s="142">
        <f t="shared" si="1"/>
        <v>0</v>
      </c>
      <c r="H18" s="142" t="str">
        <f t="shared" si="2"/>
        <v xml:space="preserve"> </v>
      </c>
      <c r="I18" s="139"/>
    </row>
    <row r="19" spans="1:11" s="143" customFormat="1" ht="12.75" customHeight="1">
      <c r="A19" s="70" t="s">
        <v>203</v>
      </c>
      <c r="B19" s="142">
        <v>1143.822271151</v>
      </c>
      <c r="C19" s="142">
        <f>IF($A19="","",SUM('Situfin serie mensual'!GL18:GS18))</f>
        <v>29.489185000000003</v>
      </c>
      <c r="D19" s="142">
        <f t="shared" si="0"/>
        <v>2.5781264925298024</v>
      </c>
      <c r="E19" s="234">
        <v>1443.2342668830001</v>
      </c>
      <c r="F19" s="234">
        <f>IF($A19="","",'2'!N19)</f>
        <v>64.962595730000004</v>
      </c>
      <c r="G19" s="142">
        <f t="shared" si="1"/>
        <v>4.5011816321616189</v>
      </c>
      <c r="H19" s="142">
        <f t="shared" si="2"/>
        <v>120.2929505511936</v>
      </c>
      <c r="I19" s="139"/>
    </row>
    <row r="20" spans="1:11" s="143" customFormat="1" ht="12.75" customHeight="1">
      <c r="A20" s="70" t="s">
        <v>204</v>
      </c>
      <c r="B20" s="142">
        <v>0.19</v>
      </c>
      <c r="C20" s="142">
        <f>IF($A20="","",SUM('Situfin serie mensual'!GL19:GS19))</f>
        <v>30.263901552</v>
      </c>
      <c r="D20" s="142">
        <f t="shared" si="0"/>
        <v>15928.369237894736</v>
      </c>
      <c r="E20" s="234">
        <v>16.649999999999999</v>
      </c>
      <c r="F20" s="234">
        <f>IF($A20="","",'2'!N20)</f>
        <v>14.930876587</v>
      </c>
      <c r="G20" s="142">
        <f t="shared" si="1"/>
        <v>89.674934456456469</v>
      </c>
      <c r="H20" s="142">
        <f t="shared" si="2"/>
        <v>-50.664402732920969</v>
      </c>
      <c r="I20" s="139"/>
    </row>
    <row r="21" spans="1:11" s="143" customFormat="1" ht="12.75" customHeight="1">
      <c r="A21" s="70" t="s">
        <v>202</v>
      </c>
      <c r="B21" s="142">
        <v>0</v>
      </c>
      <c r="C21" s="142">
        <f>IF($A21="","",SUM('Situfin serie mensual'!GL20:GS20))</f>
        <v>0</v>
      </c>
      <c r="D21" s="142">
        <f t="shared" si="0"/>
        <v>0</v>
      </c>
      <c r="E21" s="234">
        <v>0</v>
      </c>
      <c r="F21" s="234">
        <f>IF($A21="","",'2'!N21)</f>
        <v>0</v>
      </c>
      <c r="G21" s="142">
        <f t="shared" si="1"/>
        <v>0</v>
      </c>
      <c r="H21" s="142" t="str">
        <f t="shared" si="2"/>
        <v xml:space="preserve"> </v>
      </c>
      <c r="I21" s="139"/>
    </row>
    <row r="22" spans="1:11" s="143" customFormat="1" ht="12.75" customHeight="1">
      <c r="A22" s="70" t="s">
        <v>203</v>
      </c>
      <c r="B22" s="142">
        <v>0.19</v>
      </c>
      <c r="C22" s="142">
        <f>IF($A22="","",SUM('Situfin serie mensual'!GL21:GS21))</f>
        <v>30.263901552</v>
      </c>
      <c r="D22" s="142">
        <f t="shared" si="0"/>
        <v>15928.369237894736</v>
      </c>
      <c r="E22" s="234">
        <v>16.649999999999999</v>
      </c>
      <c r="F22" s="234">
        <f>IF($A22="","",'2'!N22)</f>
        <v>14.930876587</v>
      </c>
      <c r="G22" s="142">
        <f t="shared" si="1"/>
        <v>89.674934456456469</v>
      </c>
      <c r="H22" s="142">
        <f t="shared" si="2"/>
        <v>-50.664402732920969</v>
      </c>
      <c r="I22" s="139"/>
    </row>
    <row r="23" spans="1:11" s="143" customFormat="1" ht="12.75" customHeight="1">
      <c r="A23" s="70" t="s">
        <v>205</v>
      </c>
      <c r="B23" s="142">
        <v>1355.0778492760003</v>
      </c>
      <c r="C23" s="142">
        <f>IF($A23="","",SUM('Situfin serie mensual'!GL22:GS22))</f>
        <v>689.13228009500006</v>
      </c>
      <c r="D23" s="142">
        <f t="shared" si="0"/>
        <v>50.85554903455872</v>
      </c>
      <c r="E23" s="234">
        <v>1373.4223628699999</v>
      </c>
      <c r="F23" s="234">
        <f>IF($A23="","",'2'!N23)</f>
        <v>670.820796298</v>
      </c>
      <c r="G23" s="142">
        <f t="shared" si="1"/>
        <v>48.843008125789197</v>
      </c>
      <c r="H23" s="142">
        <f t="shared" si="2"/>
        <v>-2.6571798079863242</v>
      </c>
      <c r="I23" s="139"/>
    </row>
    <row r="24" spans="1:11" s="143" customFormat="1" ht="12.75" customHeight="1">
      <c r="A24" s="70" t="s">
        <v>202</v>
      </c>
      <c r="B24" s="142">
        <v>1355.0778492760003</v>
      </c>
      <c r="C24" s="142">
        <f>IF($A24="","",SUM('Situfin serie mensual'!GL23:GS23))</f>
        <v>689.13228009500006</v>
      </c>
      <c r="D24" s="142">
        <f t="shared" si="0"/>
        <v>50.85554903455872</v>
      </c>
      <c r="E24" s="234">
        <v>1373.4223628699999</v>
      </c>
      <c r="F24" s="234">
        <f>IF($A24="","",'2'!N24)</f>
        <v>670.820796298</v>
      </c>
      <c r="G24" s="142">
        <f t="shared" si="1"/>
        <v>48.843008125789197</v>
      </c>
      <c r="H24" s="142">
        <f t="shared" si="2"/>
        <v>-2.6571798079863242</v>
      </c>
      <c r="I24" s="139"/>
    </row>
    <row r="25" spans="1:11" s="143" customFormat="1" ht="12.75" customHeight="1">
      <c r="A25" s="70" t="s">
        <v>203</v>
      </c>
      <c r="B25" s="142">
        <v>0</v>
      </c>
      <c r="C25" s="142">
        <f>IF($A25="","",SUM('Situfin serie mensual'!GL24:GS24))</f>
        <v>0</v>
      </c>
      <c r="D25" s="142">
        <f t="shared" si="0"/>
        <v>0</v>
      </c>
      <c r="E25" s="234">
        <v>0</v>
      </c>
      <c r="F25" s="234">
        <f>IF($A25="","",'2'!N25)</f>
        <v>0</v>
      </c>
      <c r="G25" s="142">
        <f t="shared" si="1"/>
        <v>0</v>
      </c>
      <c r="H25" s="142" t="str">
        <f t="shared" si="2"/>
        <v xml:space="preserve"> </v>
      </c>
      <c r="I25" s="139"/>
    </row>
    <row r="26" spans="1:11" s="32" customFormat="1" ht="12.75" outlineLevel="2">
      <c r="A26" s="69" t="s">
        <v>63</v>
      </c>
      <c r="B26" s="140">
        <v>9241.588580099</v>
      </c>
      <c r="C26" s="140">
        <f>IF($A26="","",SUM('Situfin serie mensual'!GL25:GS25))</f>
        <v>4359.0705466890004</v>
      </c>
      <c r="D26" s="140">
        <f t="shared" si="0"/>
        <v>47.167978848094364</v>
      </c>
      <c r="E26" s="235">
        <v>9305.2044524199991</v>
      </c>
      <c r="F26" s="235">
        <f>IF($A26="","",'2'!N26)</f>
        <v>3893.027173593</v>
      </c>
      <c r="G26" s="140">
        <f t="shared" si="1"/>
        <v>41.83709442924215</v>
      </c>
      <c r="H26" s="140">
        <f t="shared" si="2"/>
        <v>-10.691347343529245</v>
      </c>
      <c r="I26" s="139"/>
      <c r="K26" s="145"/>
    </row>
    <row r="27" spans="1:11" s="143" customFormat="1" ht="12.75" customHeight="1">
      <c r="A27" s="70" t="s">
        <v>64</v>
      </c>
      <c r="B27" s="142">
        <v>3224.8204310089991</v>
      </c>
      <c r="C27" s="142">
        <f>IF($A27="","",SUM('Situfin serie mensual'!GL26:GS26))</f>
        <v>1726.2162993420002</v>
      </c>
      <c r="D27" s="142">
        <f t="shared" si="0"/>
        <v>53.52906731621929</v>
      </c>
      <c r="E27" s="234">
        <v>3237.8906417560002</v>
      </c>
      <c r="F27" s="234">
        <f>IF($A27="","",'2'!N27)</f>
        <v>1456.1693366540001</v>
      </c>
      <c r="G27" s="142">
        <f t="shared" si="1"/>
        <v>44.972776963964357</v>
      </c>
      <c r="H27" s="142">
        <f t="shared" si="2"/>
        <v>-15.643865881172403</v>
      </c>
      <c r="I27" s="139"/>
    </row>
    <row r="28" spans="1:11" s="143" customFormat="1" ht="14.25" customHeight="1">
      <c r="A28" s="70" t="s">
        <v>65</v>
      </c>
      <c r="B28" s="142">
        <v>2349.1695245129995</v>
      </c>
      <c r="C28" s="142">
        <f>IF($A28="","",SUM('Situfin serie mensual'!GL27:GS27))</f>
        <v>1428.9847880970003</v>
      </c>
      <c r="D28" s="142">
        <f t="shared" si="0"/>
        <v>60.829360043449377</v>
      </c>
      <c r="E28" s="234">
        <v>2204.3628515380001</v>
      </c>
      <c r="F28" s="234">
        <f>IF($A28="","",'2'!N28)</f>
        <v>1034.3404082009999</v>
      </c>
      <c r="G28" s="142">
        <f t="shared" si="1"/>
        <v>46.922420575148642</v>
      </c>
      <c r="H28" s="142">
        <f t="shared" si="2"/>
        <v>-27.617115534277588</v>
      </c>
      <c r="I28" s="139"/>
    </row>
    <row r="29" spans="1:11" s="143" customFormat="1" ht="14.25" customHeight="1">
      <c r="A29" s="71" t="s">
        <v>280</v>
      </c>
      <c r="B29" s="142">
        <v>875.65090649599949</v>
      </c>
      <c r="C29" s="142">
        <f>IF($A29="","",SUM('Situfin serie mensual'!GL28:GS28))</f>
        <v>297.23151124499992</v>
      </c>
      <c r="D29" s="142">
        <f t="shared" si="0"/>
        <v>33.944064813956523</v>
      </c>
      <c r="E29" s="234">
        <v>1033.5277902180003</v>
      </c>
      <c r="F29" s="234">
        <f>IF($A29="","",'2'!N29)</f>
        <v>421.82892845299995</v>
      </c>
      <c r="G29" s="142">
        <f t="shared" si="1"/>
        <v>40.814473732150375</v>
      </c>
      <c r="H29" s="142">
        <f t="shared" si="2"/>
        <v>41.919316254896586</v>
      </c>
      <c r="I29" s="139"/>
    </row>
    <row r="30" spans="1:11" s="143" customFormat="1" ht="12.75" customHeight="1">
      <c r="A30" s="70" t="s">
        <v>67</v>
      </c>
      <c r="B30" s="142">
        <v>2733.512253718</v>
      </c>
      <c r="C30" s="142">
        <f>IF($A30="","",SUM('Situfin serie mensual'!GL29:GS29))</f>
        <v>2345.7295499349998</v>
      </c>
      <c r="D30" s="142">
        <f t="shared" si="0"/>
        <v>85.813756523112133</v>
      </c>
      <c r="E30" s="234">
        <v>2490.140079408</v>
      </c>
      <c r="F30" s="234">
        <f>IF($A30="","",'2'!N30)</f>
        <v>1680.7187015010002</v>
      </c>
      <c r="G30" s="142">
        <f t="shared" si="1"/>
        <v>67.494945983142046</v>
      </c>
      <c r="H30" s="142">
        <f t="shared" si="2"/>
        <v>-28.349851689101456</v>
      </c>
      <c r="I30" s="139"/>
    </row>
    <row r="31" spans="1:11" s="143" customFormat="1" ht="14.25" customHeight="1">
      <c r="A31" s="70" t="s">
        <v>281</v>
      </c>
      <c r="B31" s="142">
        <v>1199.834603472</v>
      </c>
      <c r="C31" s="142">
        <f>IF($A31="","",SUM('Situfin serie mensual'!GL30:GS30))</f>
        <v>1470.0247020660001</v>
      </c>
      <c r="D31" s="142">
        <f t="shared" si="0"/>
        <v>122.51894534564534</v>
      </c>
      <c r="E31" s="234">
        <v>946.18121027899997</v>
      </c>
      <c r="F31" s="234">
        <f>IF($A31="","",'2'!N31)</f>
        <v>1045.910492066</v>
      </c>
      <c r="G31" s="142">
        <f t="shared" si="1"/>
        <v>110.5401883596476</v>
      </c>
      <c r="H31" s="142">
        <f t="shared" si="2"/>
        <v>-28.850821989857863</v>
      </c>
      <c r="I31" s="139"/>
    </row>
    <row r="32" spans="1:11" s="143" customFormat="1" ht="14.25" customHeight="1">
      <c r="A32" s="71" t="s">
        <v>282</v>
      </c>
      <c r="B32" s="142">
        <v>1533.677650246</v>
      </c>
      <c r="C32" s="142">
        <f>IF($A32="","",SUM('Situfin serie mensual'!GL31:GS31))</f>
        <v>875.7048478690001</v>
      </c>
      <c r="D32" s="142">
        <f t="shared" si="0"/>
        <v>57.098364035528469</v>
      </c>
      <c r="E32" s="234">
        <v>1543.9588691289998</v>
      </c>
      <c r="F32" s="234">
        <f>IF($A32="","",'2'!N32)</f>
        <v>634.80820943499998</v>
      </c>
      <c r="G32" s="142">
        <f t="shared" si="1"/>
        <v>41.115616622165405</v>
      </c>
      <c r="H32" s="142">
        <f t="shared" si="2"/>
        <v>-27.50888487373507</v>
      </c>
      <c r="I32" s="139"/>
    </row>
    <row r="33" spans="1:9" s="143" customFormat="1" ht="12.75" customHeight="1">
      <c r="A33" s="70" t="s">
        <v>63</v>
      </c>
      <c r="B33" s="142">
        <v>3283.2558953719999</v>
      </c>
      <c r="C33" s="142">
        <f>IF($A33="","",SUM('Situfin serie mensual'!GL32:GS32))</f>
        <v>287.12469741199999</v>
      </c>
      <c r="D33" s="142">
        <f t="shared" si="0"/>
        <v>8.7451208971169194</v>
      </c>
      <c r="E33" s="234">
        <v>3577.1737312559999</v>
      </c>
      <c r="F33" s="234">
        <f>IF($A33="","",'2'!N33)</f>
        <v>756.13913543800015</v>
      </c>
      <c r="G33" s="142">
        <f t="shared" si="1"/>
        <v>21.137892432540824</v>
      </c>
      <c r="H33" s="142">
        <f t="shared" si="2"/>
        <v>163.34869213741081</v>
      </c>
      <c r="I33" s="139"/>
    </row>
    <row r="34" spans="1:9" s="143" customFormat="1" ht="8.25" customHeight="1">
      <c r="A34" s="70"/>
      <c r="B34" s="142"/>
      <c r="C34" s="142" t="str">
        <f>IF($A34="","",SUM('Situfin serie mensual'!GL33:GS33))</f>
        <v/>
      </c>
      <c r="D34" s="142"/>
      <c r="E34" s="234"/>
      <c r="F34" s="234" t="str">
        <f>IF($A34="","",'2'!N34)</f>
        <v/>
      </c>
      <c r="G34" s="142"/>
      <c r="H34" s="142"/>
      <c r="I34" s="139"/>
    </row>
    <row r="35" spans="1:9" s="26" customFormat="1" ht="12.75">
      <c r="A35" s="137" t="s">
        <v>70</v>
      </c>
      <c r="B35" s="146">
        <v>36833.403351103996</v>
      </c>
      <c r="C35" s="146">
        <f>IF($A35="","",SUM('Situfin serie mensual'!GL34:GS34))</f>
        <v>21136.676997494</v>
      </c>
      <c r="D35" s="146">
        <f t="shared" ref="D35:D70" si="3">IFERROR((C35/B35*100),0)</f>
        <v>57.384534347843463</v>
      </c>
      <c r="E35" s="236">
        <v>44292.870061788999</v>
      </c>
      <c r="F35" s="236">
        <f>IF($A35="","",'2'!N35)</f>
        <v>23526.367888614997</v>
      </c>
      <c r="G35" s="146">
        <f t="shared" ref="G35:G70" si="4">IFERROR((F35/E35*100),0)</f>
        <v>53.115474016010879</v>
      </c>
      <c r="H35" s="146">
        <f t="shared" ref="H35:H70" si="5">IF(C35&lt;&gt;0,F35/C35*100-100," ")</f>
        <v>11.305896813412659</v>
      </c>
      <c r="I35" s="139"/>
    </row>
    <row r="36" spans="1:9" s="143" customFormat="1" ht="12.75">
      <c r="A36" s="239" t="s">
        <v>71</v>
      </c>
      <c r="B36" s="240">
        <v>17282.884705402997</v>
      </c>
      <c r="C36" s="240">
        <f>IF($A36="","",SUM('Situfin serie mensual'!GL35:GS35))</f>
        <v>10012.697689789999</v>
      </c>
      <c r="D36" s="240">
        <f t="shared" si="3"/>
        <v>57.934180898978148</v>
      </c>
      <c r="E36" s="236">
        <v>18865.561538036</v>
      </c>
      <c r="F36" s="236">
        <f>IF($A36="","",'2'!N36)</f>
        <v>10713.351976755001</v>
      </c>
      <c r="G36" s="240">
        <f t="shared" si="4"/>
        <v>56.787877504494965</v>
      </c>
      <c r="H36" s="240">
        <f t="shared" si="5"/>
        <v>6.9976574612800277</v>
      </c>
      <c r="I36" s="139"/>
    </row>
    <row r="37" spans="1:9" s="143" customFormat="1" ht="12.75">
      <c r="A37" s="239" t="s">
        <v>72</v>
      </c>
      <c r="B37" s="140">
        <v>4013.4304461080001</v>
      </c>
      <c r="C37" s="140">
        <f>IF($A37="","",SUM('Situfin serie mensual'!GL36:GS36))</f>
        <v>2108.545672875</v>
      </c>
      <c r="D37" s="140">
        <f t="shared" si="3"/>
        <v>52.53724217196163</v>
      </c>
      <c r="E37" s="235">
        <v>4816.2758836809999</v>
      </c>
      <c r="F37" s="235">
        <f>IF($A37="","",'2'!N37)</f>
        <v>2127.0742591379999</v>
      </c>
      <c r="G37" s="140">
        <f t="shared" si="4"/>
        <v>44.164294374107001</v>
      </c>
      <c r="H37" s="140">
        <f t="shared" si="5"/>
        <v>0.87873772436411457</v>
      </c>
      <c r="I37" s="139"/>
    </row>
    <row r="38" spans="1:9" s="143" customFormat="1" ht="12.75" customHeight="1">
      <c r="A38" s="72" t="s">
        <v>73</v>
      </c>
      <c r="B38" s="142">
        <v>1896.414852977</v>
      </c>
      <c r="C38" s="142">
        <f>IF($A38="","",SUM('Situfin serie mensual'!GL37:GS37))</f>
        <v>982.3137216319999</v>
      </c>
      <c r="D38" s="142">
        <f t="shared" si="3"/>
        <v>51.79846171790733</v>
      </c>
      <c r="E38" s="234">
        <v>1821.456228258</v>
      </c>
      <c r="F38" s="234">
        <f>IF($A38="","",'2'!N38)</f>
        <v>870.72593935800001</v>
      </c>
      <c r="G38" s="142">
        <f t="shared" si="4"/>
        <v>47.803835516307899</v>
      </c>
      <c r="H38" s="142">
        <f t="shared" si="5"/>
        <v>-11.359688846513293</v>
      </c>
      <c r="I38" s="139"/>
    </row>
    <row r="39" spans="1:9" s="143" customFormat="1" ht="12.75" customHeight="1">
      <c r="A39" s="72" t="s">
        <v>74</v>
      </c>
      <c r="B39" s="142">
        <v>1911.684959015</v>
      </c>
      <c r="C39" s="142">
        <f>IF($A39="","",SUM('Situfin serie mensual'!GL38:GS38))</f>
        <v>1014.700165139</v>
      </c>
      <c r="D39" s="142">
        <f t="shared" si="3"/>
        <v>53.078838139827525</v>
      </c>
      <c r="E39" s="234">
        <v>2811.699049072</v>
      </c>
      <c r="F39" s="234">
        <f>IF($A39="","",'2'!N39)</f>
        <v>1121.371343909</v>
      </c>
      <c r="G39" s="142">
        <f t="shared" si="4"/>
        <v>39.882338911026345</v>
      </c>
      <c r="H39" s="142">
        <f t="shared" si="5"/>
        <v>10.512581197361627</v>
      </c>
      <c r="I39" s="139"/>
    </row>
    <row r="40" spans="1:9" s="143" customFormat="1" ht="12.75" customHeight="1">
      <c r="A40" s="72" t="s">
        <v>44</v>
      </c>
      <c r="B40" s="142">
        <v>119.139354086</v>
      </c>
      <c r="C40" s="142">
        <f>IF($A40="","",SUM('Situfin serie mensual'!GL39:GS39))</f>
        <v>29.230595819999998</v>
      </c>
      <c r="D40" s="142">
        <f t="shared" si="3"/>
        <v>24.534794606071202</v>
      </c>
      <c r="E40" s="234">
        <v>92.427386999999996</v>
      </c>
      <c r="F40" s="234">
        <f>IF($A40="","",'2'!N40)</f>
        <v>46.989310996000007</v>
      </c>
      <c r="G40" s="142">
        <f t="shared" si="4"/>
        <v>50.839164149474449</v>
      </c>
      <c r="H40" s="142">
        <f t="shared" si="5"/>
        <v>60.753859706989743</v>
      </c>
      <c r="I40" s="139"/>
    </row>
    <row r="41" spans="1:9" s="143" customFormat="1" ht="12.75" customHeight="1">
      <c r="A41" s="72" t="s">
        <v>45</v>
      </c>
      <c r="B41" s="142">
        <v>86.19128003000003</v>
      </c>
      <c r="C41" s="142">
        <f>IF($A41="","",SUM('Situfin serie mensual'!GL40:GS40))</f>
        <v>82.301190284000015</v>
      </c>
      <c r="D41" s="142">
        <f t="shared" si="3"/>
        <v>95.486678298957827</v>
      </c>
      <c r="E41" s="234">
        <v>90.693219351000153</v>
      </c>
      <c r="F41" s="234">
        <f>IF($A41="","",'2'!N41)</f>
        <v>87.987664875000021</v>
      </c>
      <c r="G41" s="142">
        <f t="shared" si="4"/>
        <v>97.016806222823433</v>
      </c>
      <c r="H41" s="142">
        <f t="shared" si="5"/>
        <v>6.9093467195036453</v>
      </c>
      <c r="I41" s="139"/>
    </row>
    <row r="42" spans="1:9" s="143" customFormat="1" ht="12.75">
      <c r="A42" s="239" t="s">
        <v>37</v>
      </c>
      <c r="B42" s="140">
        <v>2014.282352313</v>
      </c>
      <c r="C42" s="140">
        <f>IF($A42="","",SUM('Situfin serie mensual'!GL41:GS41))</f>
        <v>1341.7417009630001</v>
      </c>
      <c r="D42" s="140">
        <f t="shared" si="3"/>
        <v>66.611401297453583</v>
      </c>
      <c r="E42" s="235">
        <v>2855.7115415630001</v>
      </c>
      <c r="F42" s="235">
        <f>IF($A42="","",'2'!N42)</f>
        <v>1518.7952569719998</v>
      </c>
      <c r="G42" s="140">
        <f>IFERROR((F42/E42*100),0)</f>
        <v>53.184477313865052</v>
      </c>
      <c r="H42" s="140">
        <f t="shared" si="5"/>
        <v>13.195800345321615</v>
      </c>
      <c r="I42" s="139"/>
    </row>
    <row r="43" spans="1:9" s="143" customFormat="1" ht="12.75" customHeight="1">
      <c r="A43" s="72" t="s">
        <v>75</v>
      </c>
      <c r="B43" s="142">
        <v>1794.554951068</v>
      </c>
      <c r="C43" s="142">
        <f>IF($A43="","",SUM('Situfin serie mensual'!GL42:GS42))</f>
        <v>1207.4045667249998</v>
      </c>
      <c r="D43" s="142">
        <f t="shared" si="3"/>
        <v>67.281560032833369</v>
      </c>
      <c r="E43" s="234">
        <v>2546.94021733</v>
      </c>
      <c r="F43" s="234">
        <f>IF($A43="","",'2'!N43)</f>
        <v>1386.531680697</v>
      </c>
      <c r="G43" s="142">
        <f t="shared" si="4"/>
        <v>54.439113696611393</v>
      </c>
      <c r="H43" s="142">
        <f t="shared" si="5"/>
        <v>14.835716122713521</v>
      </c>
      <c r="I43" s="139"/>
    </row>
    <row r="44" spans="1:9" s="143" customFormat="1" ht="12.75" customHeight="1">
      <c r="A44" s="72" t="s">
        <v>76</v>
      </c>
      <c r="B44" s="142">
        <v>219.72740124499998</v>
      </c>
      <c r="C44" s="142">
        <f>IF($A44="","",SUM('Situfin serie mensual'!GL43:GS43))</f>
        <v>134.337134238</v>
      </c>
      <c r="D44" s="142">
        <f t="shared" si="3"/>
        <v>61.138089048899133</v>
      </c>
      <c r="E44" s="234">
        <v>308.77132423299997</v>
      </c>
      <c r="F44" s="234">
        <f>IF($A44="","",'2'!N44)</f>
        <v>132.26357627499999</v>
      </c>
      <c r="G44" s="142">
        <f t="shared" si="4"/>
        <v>42.83544678365061</v>
      </c>
      <c r="H44" s="142">
        <f t="shared" si="5"/>
        <v>-1.543547861700219</v>
      </c>
      <c r="I44" s="139"/>
    </row>
    <row r="45" spans="1:9" s="143" customFormat="1" ht="12.75" customHeight="1">
      <c r="A45" s="70" t="s">
        <v>77</v>
      </c>
      <c r="B45" s="142">
        <v>0</v>
      </c>
      <c r="C45" s="142">
        <f>IF($A45="","",SUM('Situfin serie mensual'!GL44:GS44))</f>
        <v>0</v>
      </c>
      <c r="D45" s="142">
        <f t="shared" si="3"/>
        <v>0</v>
      </c>
      <c r="E45" s="234">
        <v>0</v>
      </c>
      <c r="F45" s="234">
        <f>IF($A45="","",'2'!N45)</f>
        <v>0</v>
      </c>
      <c r="G45" s="142">
        <f t="shared" si="4"/>
        <v>0</v>
      </c>
      <c r="H45" s="142" t="str">
        <f t="shared" si="5"/>
        <v xml:space="preserve"> </v>
      </c>
      <c r="I45" s="139"/>
    </row>
    <row r="46" spans="1:9" s="143" customFormat="1" ht="12.75">
      <c r="A46" s="239" t="s">
        <v>10</v>
      </c>
      <c r="B46" s="140">
        <v>5072.3006845540003</v>
      </c>
      <c r="C46" s="140">
        <f>IF($A46="","",SUM('Situfin serie mensual'!GL45:GS45))</f>
        <v>3156.0937197439998</v>
      </c>
      <c r="D46" s="140">
        <f t="shared" si="3"/>
        <v>62.222133820946979</v>
      </c>
      <c r="E46" s="235">
        <v>6924.0106565260003</v>
      </c>
      <c r="F46" s="235">
        <f>IF($A46="","",'2'!N46)</f>
        <v>2762.062217663</v>
      </c>
      <c r="G46" s="140">
        <f t="shared" si="4"/>
        <v>39.891074041887968</v>
      </c>
      <c r="H46" s="140">
        <f t="shared" si="5"/>
        <v>-12.484784580888842</v>
      </c>
      <c r="I46" s="139"/>
    </row>
    <row r="47" spans="1:9" s="143" customFormat="1" ht="12.75" customHeight="1">
      <c r="A47" s="70" t="s">
        <v>58</v>
      </c>
      <c r="B47" s="142">
        <v>0</v>
      </c>
      <c r="C47" s="142">
        <f>IF($A47="","",SUM('Situfin serie mensual'!GL46:GS46))</f>
        <v>0</v>
      </c>
      <c r="D47" s="142">
        <f t="shared" si="3"/>
        <v>0</v>
      </c>
      <c r="E47" s="234">
        <v>0</v>
      </c>
      <c r="F47" s="234">
        <f>IF($A47="","",'2'!N47)</f>
        <v>0</v>
      </c>
      <c r="G47" s="142">
        <f t="shared" si="4"/>
        <v>0</v>
      </c>
      <c r="H47" s="142" t="str">
        <f t="shared" si="5"/>
        <v xml:space="preserve"> </v>
      </c>
      <c r="I47" s="139"/>
    </row>
    <row r="48" spans="1:9" s="143" customFormat="1" ht="12.75" customHeight="1">
      <c r="A48" s="70" t="s">
        <v>59</v>
      </c>
      <c r="B48" s="142">
        <v>0</v>
      </c>
      <c r="C48" s="142">
        <f>IF($A48="","",SUM('Situfin serie mensual'!GL47:GS47))</f>
        <v>0</v>
      </c>
      <c r="D48" s="142">
        <f t="shared" si="3"/>
        <v>0</v>
      </c>
      <c r="E48" s="234">
        <v>0</v>
      </c>
      <c r="F48" s="234">
        <f>IF($A48="","",'2'!N48)</f>
        <v>0</v>
      </c>
      <c r="G48" s="142">
        <f t="shared" si="4"/>
        <v>0</v>
      </c>
      <c r="H48" s="142" t="str">
        <f t="shared" si="5"/>
        <v xml:space="preserve"> </v>
      </c>
      <c r="I48" s="139"/>
    </row>
    <row r="49" spans="1:9" s="143" customFormat="1" ht="12.75" customHeight="1">
      <c r="A49" s="70" t="s">
        <v>60</v>
      </c>
      <c r="B49" s="142">
        <v>0</v>
      </c>
      <c r="C49" s="142">
        <f>IF($A49="","",SUM('Situfin serie mensual'!GL48:GS48))</f>
        <v>0</v>
      </c>
      <c r="D49" s="142">
        <f t="shared" si="3"/>
        <v>0</v>
      </c>
      <c r="E49" s="234">
        <v>0</v>
      </c>
      <c r="F49" s="234">
        <f>IF($A49="","",'2'!N49)</f>
        <v>0</v>
      </c>
      <c r="G49" s="142">
        <f t="shared" si="4"/>
        <v>0</v>
      </c>
      <c r="H49" s="142" t="str">
        <f t="shared" si="5"/>
        <v xml:space="preserve"> </v>
      </c>
      <c r="I49" s="139"/>
    </row>
    <row r="50" spans="1:9" s="143" customFormat="1" ht="12.75" customHeight="1">
      <c r="A50" s="70" t="s">
        <v>106</v>
      </c>
      <c r="B50" s="142">
        <v>70.892550268000008</v>
      </c>
      <c r="C50" s="142">
        <f>IF($A50="","",SUM('Situfin serie mensual'!GL49:GS49))</f>
        <v>37.865673616000002</v>
      </c>
      <c r="D50" s="142">
        <f t="shared" si="3"/>
        <v>53.412768299142542</v>
      </c>
      <c r="E50" s="234">
        <v>57.843114800000002</v>
      </c>
      <c r="F50" s="234">
        <f>IF($A50="","",'2'!N50)</f>
        <v>20.023973821999999</v>
      </c>
      <c r="G50" s="142">
        <f t="shared" si="4"/>
        <v>34.617730893703531</v>
      </c>
      <c r="H50" s="142">
        <f t="shared" si="5"/>
        <v>-47.118400625681879</v>
      </c>
      <c r="I50" s="139"/>
    </row>
    <row r="51" spans="1:9" s="143" customFormat="1" ht="12.75" customHeight="1">
      <c r="A51" s="70" t="s">
        <v>59</v>
      </c>
      <c r="B51" s="142">
        <v>56.823550268000005</v>
      </c>
      <c r="C51" s="142">
        <f>IF($A51="","",SUM('Situfin serie mensual'!GL50:GS50))</f>
        <v>33.540673616000007</v>
      </c>
      <c r="D51" s="142">
        <f t="shared" si="3"/>
        <v>59.026008508462247</v>
      </c>
      <c r="E51" s="234">
        <v>53.843114800000002</v>
      </c>
      <c r="F51" s="234">
        <f>IF($A51="","",'2'!N51)</f>
        <v>20.023973821999999</v>
      </c>
      <c r="G51" s="142">
        <f t="shared" si="4"/>
        <v>37.189478908081291</v>
      </c>
      <c r="H51" s="142">
        <f t="shared" si="5"/>
        <v>-40.29942853488815</v>
      </c>
      <c r="I51" s="139"/>
    </row>
    <row r="52" spans="1:9" s="143" customFormat="1" ht="12.75" customHeight="1">
      <c r="A52" s="70" t="s">
        <v>60</v>
      </c>
      <c r="B52" s="142">
        <v>14.069000000000001</v>
      </c>
      <c r="C52" s="142">
        <f>IF($A52="","",SUM('Situfin serie mensual'!GL51:GS51))</f>
        <v>4.3250000000000002</v>
      </c>
      <c r="D52" s="142">
        <f t="shared" si="3"/>
        <v>30.741346222190629</v>
      </c>
      <c r="E52" s="234">
        <v>4</v>
      </c>
      <c r="F52" s="234">
        <f>IF($A52="","",'2'!N52)</f>
        <v>0</v>
      </c>
      <c r="G52" s="142">
        <f t="shared" si="4"/>
        <v>0</v>
      </c>
      <c r="H52" s="142">
        <f t="shared" si="5"/>
        <v>-100</v>
      </c>
      <c r="I52" s="139"/>
    </row>
    <row r="53" spans="1:9" s="143" customFormat="1" ht="12.75" customHeight="1">
      <c r="A53" s="70" t="s">
        <v>107</v>
      </c>
      <c r="B53" s="142">
        <v>5001.4081342859999</v>
      </c>
      <c r="C53" s="142">
        <f>IF($A53="","",SUM('Situfin serie mensual'!GL52:GS52))</f>
        <v>3118.2280461279997</v>
      </c>
      <c r="D53" s="142">
        <f t="shared" si="3"/>
        <v>62.347002332237324</v>
      </c>
      <c r="E53" s="234">
        <v>6866.1675417260003</v>
      </c>
      <c r="F53" s="234">
        <f>IF($A53="","",'2'!N53)</f>
        <v>2742.0382438410002</v>
      </c>
      <c r="G53" s="142">
        <f t="shared" si="4"/>
        <v>39.935498619535778</v>
      </c>
      <c r="H53" s="142">
        <f t="shared" si="5"/>
        <v>-12.064217136207418</v>
      </c>
      <c r="I53" s="139"/>
    </row>
    <row r="54" spans="1:9" s="143" customFormat="1" ht="12.75" customHeight="1">
      <c r="A54" s="70" t="s">
        <v>59</v>
      </c>
      <c r="B54" s="142">
        <v>3258.1374796389996</v>
      </c>
      <c r="C54" s="142">
        <f>IF($A54="","",SUM('Situfin serie mensual'!GL53:GS53))</f>
        <v>1949.9931934609997</v>
      </c>
      <c r="D54" s="142">
        <f t="shared" si="3"/>
        <v>59.849935911146943</v>
      </c>
      <c r="E54" s="234">
        <v>3768.6581605280003</v>
      </c>
      <c r="F54" s="234">
        <f>IF($A54="","",'2'!N54)</f>
        <v>2147.2031311550004</v>
      </c>
      <c r="G54" s="142">
        <f t="shared" si="4"/>
        <v>56.975269172573903</v>
      </c>
      <c r="H54" s="142">
        <f t="shared" si="5"/>
        <v>10.113365439187888</v>
      </c>
      <c r="I54" s="139"/>
    </row>
    <row r="55" spans="1:9" s="143" customFormat="1" ht="12.75" customHeight="1">
      <c r="A55" s="70" t="s">
        <v>60</v>
      </c>
      <c r="B55" s="142">
        <v>1743.2706546470001</v>
      </c>
      <c r="C55" s="142">
        <f>IF($A55="","",SUM('Situfin serie mensual'!GL54:GS54))</f>
        <v>1168.234852667</v>
      </c>
      <c r="D55" s="142">
        <f t="shared" si="3"/>
        <v>67.01396880357396</v>
      </c>
      <c r="E55" s="234">
        <v>3097.509381198</v>
      </c>
      <c r="F55" s="234">
        <f>IF($A55="","",'2'!N55)</f>
        <v>594.83511268600012</v>
      </c>
      <c r="G55" s="142">
        <f t="shared" si="4"/>
        <v>19.203658148597448</v>
      </c>
      <c r="H55" s="142">
        <f t="shared" si="5"/>
        <v>-49.082574336142059</v>
      </c>
      <c r="I55" s="139"/>
    </row>
    <row r="56" spans="1:9" s="143" customFormat="1" ht="12.75">
      <c r="A56" s="239" t="s">
        <v>78</v>
      </c>
      <c r="B56" s="140">
        <v>6224.7621924469995</v>
      </c>
      <c r="C56" s="140">
        <f>IF($A56="","",SUM('Situfin serie mensual'!GL55:GS55))</f>
        <v>3570.1626151060004</v>
      </c>
      <c r="D56" s="140">
        <f t="shared" si="3"/>
        <v>57.354200927353716</v>
      </c>
      <c r="E56" s="235">
        <v>8761.1607913909975</v>
      </c>
      <c r="F56" s="235">
        <f>IF($A56="","",'2'!N56)</f>
        <v>5471.1030404440007</v>
      </c>
      <c r="G56" s="140">
        <f t="shared" si="4"/>
        <v>62.447239249621866</v>
      </c>
      <c r="H56" s="140">
        <f t="shared" si="5"/>
        <v>53.24520561877992</v>
      </c>
      <c r="I56" s="139"/>
    </row>
    <row r="57" spans="1:9" s="143" customFormat="1" ht="12.75">
      <c r="A57" s="47" t="s">
        <v>277</v>
      </c>
      <c r="B57" s="142">
        <v>3501.5525854669995</v>
      </c>
      <c r="C57" s="142">
        <f>IF($A57="","",SUM('Situfin serie mensual'!GL56:GS56))</f>
        <v>2054.459797773</v>
      </c>
      <c r="D57" s="142">
        <f t="shared" si="3"/>
        <v>58.67282434369033</v>
      </c>
      <c r="E57" s="234">
        <v>3945.7737263689996</v>
      </c>
      <c r="F57" s="234">
        <f>IF($A57="","",'2'!N57)</f>
        <v>2250.2933439779999</v>
      </c>
      <c r="G57" s="142">
        <f t="shared" si="4"/>
        <v>57.030471081999337</v>
      </c>
      <c r="H57" s="142">
        <f t="shared" si="5"/>
        <v>9.5321186823553461</v>
      </c>
      <c r="I57" s="139"/>
    </row>
    <row r="58" spans="1:9" s="143" customFormat="1" ht="12.75">
      <c r="A58" s="47" t="s">
        <v>278</v>
      </c>
      <c r="B58" s="142">
        <v>2353.3041091169998</v>
      </c>
      <c r="C58" s="142">
        <f>IF($A58="","",SUM('Situfin serie mensual'!GL57:GS57))</f>
        <v>1314.7255803090002</v>
      </c>
      <c r="D58" s="142">
        <f t="shared" si="3"/>
        <v>55.867219847005146</v>
      </c>
      <c r="E58" s="234">
        <v>4483.3087022299997</v>
      </c>
      <c r="F58" s="234">
        <f>IF($A58="","",'2'!N58)</f>
        <v>3018.6223996569997</v>
      </c>
      <c r="G58" s="142">
        <f t="shared" si="4"/>
        <v>67.330237557711243</v>
      </c>
      <c r="H58" s="142">
        <f t="shared" si="5"/>
        <v>129.60094827907221</v>
      </c>
      <c r="I58" s="139"/>
    </row>
    <row r="59" spans="1:9" s="143" customFormat="1" ht="12.75">
      <c r="A59" s="47" t="s">
        <v>279</v>
      </c>
      <c r="B59" s="142">
        <v>369.90549786300005</v>
      </c>
      <c r="C59" s="142">
        <f>IF($A59="","",SUM('Situfin serie mensual'!GL58:GS58))</f>
        <v>200.97723702399998</v>
      </c>
      <c r="D59" s="142">
        <f t="shared" si="3"/>
        <v>54.332049181500643</v>
      </c>
      <c r="E59" s="234">
        <v>332.07836279200001</v>
      </c>
      <c r="F59" s="234">
        <f>IF($A59="","",'2'!N59)</f>
        <v>202.18729680899997</v>
      </c>
      <c r="G59" s="142">
        <f t="shared" si="4"/>
        <v>60.885417257866223</v>
      </c>
      <c r="H59" s="142">
        <f t="shared" si="5"/>
        <v>0.60208797917522361</v>
      </c>
      <c r="I59" s="139"/>
    </row>
    <row r="60" spans="1:9" s="143" customFormat="1" ht="12.75">
      <c r="A60" s="239" t="s">
        <v>79</v>
      </c>
      <c r="B60" s="140">
        <v>2225.742970279</v>
      </c>
      <c r="C60" s="140">
        <f>IF($A60="","",SUM('Situfin serie mensual'!GL59:GS59))</f>
        <v>947.43559901599997</v>
      </c>
      <c r="D60" s="140">
        <f t="shared" si="3"/>
        <v>42.567161243116836</v>
      </c>
      <c r="E60" s="235">
        <v>2070.1496505919999</v>
      </c>
      <c r="F60" s="235">
        <f>IF($A60="","",'2'!N60)</f>
        <v>933.98113764300001</v>
      </c>
      <c r="G60" s="140">
        <f t="shared" si="4"/>
        <v>45.11660001854986</v>
      </c>
      <c r="H60" s="140">
        <f t="shared" si="5"/>
        <v>-1.4200924460695461</v>
      </c>
      <c r="I60" s="139"/>
    </row>
    <row r="61" spans="1:9" s="143" customFormat="1" ht="12.75" customHeight="1">
      <c r="A61" s="70" t="s">
        <v>80</v>
      </c>
      <c r="B61" s="142">
        <v>435.652045622</v>
      </c>
      <c r="C61" s="142">
        <f>IF($A61="","",SUM('Situfin serie mensual'!GL60:GS60))</f>
        <v>265.95349230300002</v>
      </c>
      <c r="D61" s="142">
        <f t="shared" si="3"/>
        <v>61.047226789280032</v>
      </c>
      <c r="E61" s="234">
        <v>560.19760618099997</v>
      </c>
      <c r="F61" s="234">
        <f>IF($A61="","",'2'!N61)</f>
        <v>348.36028130300008</v>
      </c>
      <c r="G61" s="142">
        <f t="shared" si="4"/>
        <v>62.185249893846347</v>
      </c>
      <c r="H61" s="142">
        <f t="shared" si="5"/>
        <v>30.985413384274807</v>
      </c>
      <c r="I61" s="139"/>
    </row>
    <row r="62" spans="1:9" s="143" customFormat="1" ht="25.5" customHeight="1">
      <c r="A62" s="149" t="s">
        <v>81</v>
      </c>
      <c r="B62" s="142">
        <v>59.738348374000005</v>
      </c>
      <c r="C62" s="142">
        <f>IF($A62="","",SUM('Situfin serie mensual'!GL61:GS61))</f>
        <v>55.881232623999999</v>
      </c>
      <c r="D62" s="142">
        <f t="shared" si="3"/>
        <v>93.543317056822502</v>
      </c>
      <c r="E62" s="234">
        <v>245.18331135299999</v>
      </c>
      <c r="F62" s="234">
        <f>IF($A62="","",'2'!N62)</f>
        <v>212.33252877000001</v>
      </c>
      <c r="G62" s="142">
        <f t="shared" si="4"/>
        <v>86.601542167891097</v>
      </c>
      <c r="H62" s="142">
        <f t="shared" si="5"/>
        <v>279.9710901130104</v>
      </c>
      <c r="I62" s="139"/>
    </row>
    <row r="63" spans="1:9" s="143" customFormat="1" ht="12.75" customHeight="1">
      <c r="A63" s="149" t="s">
        <v>82</v>
      </c>
      <c r="B63" s="142">
        <v>246.74531661700004</v>
      </c>
      <c r="C63" s="142">
        <f>IF($A63="","",SUM('Situfin serie mensual'!GL62:GS62))</f>
        <v>137.09746271299997</v>
      </c>
      <c r="D63" s="142">
        <f t="shared" si="3"/>
        <v>55.56233633637865</v>
      </c>
      <c r="E63" s="234">
        <v>161.49696180899997</v>
      </c>
      <c r="F63" s="234">
        <f>IF($A63="","",'2'!N63)</f>
        <v>66.56230893499999</v>
      </c>
      <c r="G63" s="142">
        <f t="shared" si="4"/>
        <v>41.21582733780604</v>
      </c>
      <c r="H63" s="142">
        <f t="shared" si="5"/>
        <v>-51.448912607272959</v>
      </c>
      <c r="I63" s="139"/>
    </row>
    <row r="64" spans="1:9" s="143" customFormat="1" ht="25.5" customHeight="1">
      <c r="A64" s="149" t="s">
        <v>83</v>
      </c>
      <c r="B64" s="142">
        <v>36.449636166999994</v>
      </c>
      <c r="C64" s="142">
        <f>IF($A64="","",SUM('Situfin serie mensual'!GL63:GS63))</f>
        <v>24.439836775000003</v>
      </c>
      <c r="D64" s="142">
        <f t="shared" si="3"/>
        <v>67.050975935740141</v>
      </c>
      <c r="E64" s="234">
        <v>47.370339596000001</v>
      </c>
      <c r="F64" s="234">
        <f>IF($A64="","",'2'!N64)</f>
        <v>23.185809345999999</v>
      </c>
      <c r="G64" s="142">
        <f t="shared" si="4"/>
        <v>48.945837297644857</v>
      </c>
      <c r="H64" s="142">
        <f t="shared" si="5"/>
        <v>-5.1310793952714704</v>
      </c>
      <c r="I64" s="139"/>
    </row>
    <row r="65" spans="1:11" s="143" customFormat="1" ht="12.75" customHeight="1">
      <c r="A65" s="70" t="s">
        <v>84</v>
      </c>
      <c r="B65" s="142">
        <v>63.180410666999997</v>
      </c>
      <c r="C65" s="142">
        <f>IF($A65="","",SUM('Situfin serie mensual'!GL64:GS64))</f>
        <v>27.816133822999998</v>
      </c>
      <c r="D65" s="142">
        <f t="shared" si="3"/>
        <v>44.026516335274074</v>
      </c>
      <c r="E65" s="234">
        <v>76.172649625999995</v>
      </c>
      <c r="F65" s="234">
        <f>IF($A65="","",'2'!N65)</f>
        <v>25.749797883999996</v>
      </c>
      <c r="G65" s="142">
        <f t="shared" si="4"/>
        <v>33.804519089763716</v>
      </c>
      <c r="H65" s="142">
        <f t="shared" si="5"/>
        <v>-7.428551904979102</v>
      </c>
      <c r="I65" s="139"/>
    </row>
    <row r="66" spans="1:11" s="143" customFormat="1" ht="12.75" customHeight="1">
      <c r="A66" s="70" t="s">
        <v>85</v>
      </c>
      <c r="B66" s="142">
        <v>29.538333797</v>
      </c>
      <c r="C66" s="142">
        <f>IF($A66="","",SUM('Situfin serie mensual'!GL65:GS65))</f>
        <v>20.718826367999998</v>
      </c>
      <c r="D66" s="142">
        <f t="shared" si="3"/>
        <v>70.142163435448296</v>
      </c>
      <c r="E66" s="234">
        <v>29.974343797000003</v>
      </c>
      <c r="F66" s="234">
        <f>IF($A66="","",'2'!N66)</f>
        <v>20.529836368000002</v>
      </c>
      <c r="G66" s="142">
        <f t="shared" si="4"/>
        <v>68.491362169719096</v>
      </c>
      <c r="H66" s="142">
        <f t="shared" si="5"/>
        <v>-0.91216556692559436</v>
      </c>
      <c r="I66" s="139"/>
    </row>
    <row r="67" spans="1:11" s="143" customFormat="1" ht="12.75" customHeight="1">
      <c r="A67" s="70" t="s">
        <v>86</v>
      </c>
      <c r="B67" s="142">
        <v>1511.762181409</v>
      </c>
      <c r="C67" s="142">
        <f>IF($A67="","",SUM('Situfin serie mensual'!GL66:GS66))</f>
        <v>681.48210671300012</v>
      </c>
      <c r="D67" s="142">
        <f t="shared" si="3"/>
        <v>45.078658210502518</v>
      </c>
      <c r="E67" s="234">
        <v>1509.9520444109999</v>
      </c>
      <c r="F67" s="234">
        <f>IF($A67="","",'2'!N67)</f>
        <v>585.62085634000005</v>
      </c>
      <c r="G67" s="142">
        <f t="shared" si="4"/>
        <v>38.784069898619741</v>
      </c>
      <c r="H67" s="142">
        <f t="shared" si="5"/>
        <v>-14.066583616607147</v>
      </c>
      <c r="I67" s="139"/>
    </row>
    <row r="68" spans="1:11" s="143" customFormat="1" ht="12.75" customHeight="1">
      <c r="A68" s="70" t="s">
        <v>87</v>
      </c>
      <c r="B68" s="142">
        <v>323.91392363199998</v>
      </c>
      <c r="C68" s="142">
        <f>IF($A68="","",SUM('Situfin serie mensual'!GL67:GS67))</f>
        <v>256.04914646200001</v>
      </c>
      <c r="D68" s="142">
        <f t="shared" si="3"/>
        <v>79.048514985388081</v>
      </c>
      <c r="E68" s="234">
        <v>421.24185123700005</v>
      </c>
      <c r="F68" s="234">
        <f>IF($A68="","",'2'!N68)</f>
        <v>260.18789608999998</v>
      </c>
      <c r="G68" s="142">
        <f t="shared" si="4"/>
        <v>61.766867495702002</v>
      </c>
      <c r="H68" s="142">
        <f t="shared" si="5"/>
        <v>1.6163887617622663</v>
      </c>
      <c r="I68" s="139"/>
    </row>
    <row r="69" spans="1:11" s="143" customFormat="1" ht="12.75" customHeight="1">
      <c r="A69" s="70" t="s">
        <v>88</v>
      </c>
      <c r="B69" s="142">
        <v>0</v>
      </c>
      <c r="C69" s="142">
        <f>IF($A69="","",SUM('Situfin serie mensual'!GL68:GS68))</f>
        <v>0</v>
      </c>
      <c r="D69" s="142">
        <f t="shared" si="3"/>
        <v>0</v>
      </c>
      <c r="E69" s="234">
        <v>0</v>
      </c>
      <c r="F69" s="234">
        <f>IF($A69="","",'2'!N69)</f>
        <v>0</v>
      </c>
      <c r="G69" s="142">
        <f t="shared" si="4"/>
        <v>0</v>
      </c>
      <c r="H69" s="142" t="str">
        <f t="shared" si="5"/>
        <v xml:space="preserve"> </v>
      </c>
      <c r="I69" s="139"/>
    </row>
    <row r="70" spans="1:11" s="143" customFormat="1" ht="12.75" customHeight="1">
      <c r="A70" s="70" t="s">
        <v>89</v>
      </c>
      <c r="B70" s="142">
        <v>1187.8482577770001</v>
      </c>
      <c r="C70" s="142">
        <f>IF($A70="","",SUM('Situfin serie mensual'!GL69:GS69))</f>
        <v>425.432960251</v>
      </c>
      <c r="D70" s="142">
        <f t="shared" si="3"/>
        <v>35.815429914185927</v>
      </c>
      <c r="E70" s="234">
        <v>1088.7101931739999</v>
      </c>
      <c r="F70" s="234">
        <f>IF($A70="","",'2'!N70)</f>
        <v>325.43296025000001</v>
      </c>
      <c r="G70" s="142">
        <f t="shared" si="4"/>
        <v>29.891605892036381</v>
      </c>
      <c r="H70" s="142">
        <f t="shared" si="5"/>
        <v>-23.505466041465453</v>
      </c>
      <c r="I70" s="139"/>
    </row>
    <row r="71" spans="1:11" s="143" customFormat="1" ht="12.75">
      <c r="A71" s="70"/>
      <c r="B71" s="142"/>
      <c r="C71" s="142" t="str">
        <f>IF($A71="","",SUM('Situfin serie mensual'!GL70:GS70))</f>
        <v/>
      </c>
      <c r="D71" s="142"/>
      <c r="E71" s="234"/>
      <c r="F71" s="234" t="str">
        <f>IF($A71="","",'2'!N71)</f>
        <v/>
      </c>
      <c r="G71" s="142"/>
      <c r="H71" s="142"/>
      <c r="I71" s="139"/>
    </row>
    <row r="72" spans="1:11" s="143" customFormat="1" ht="13.5">
      <c r="A72" s="150" t="s">
        <v>90</v>
      </c>
      <c r="B72" s="151">
        <v>3114.3701333220015</v>
      </c>
      <c r="C72" s="151">
        <f>IF($A72="","",SUM('Situfin serie mensual'!GL71:GS71))</f>
        <v>944.06149778400004</v>
      </c>
      <c r="D72" s="152">
        <f>IFERROR((C72/B72*100),0)</f>
        <v>30.313079607432503</v>
      </c>
      <c r="E72" s="237">
        <v>-3125.6417550009937</v>
      </c>
      <c r="F72" s="237">
        <f>IF($A72="","",'2'!N72)</f>
        <v>-3450.7501020039986</v>
      </c>
      <c r="G72" s="152">
        <f>IFERROR((F72/E72*100),0)</f>
        <v>110.40133107010217</v>
      </c>
      <c r="H72" s="152">
        <f>IF(C72&lt;&gt;0,F72/C72*100-100," ")</f>
        <v>-465.52174938856848</v>
      </c>
      <c r="I72" s="139"/>
    </row>
    <row r="73" spans="1:11" s="143" customFormat="1" ht="7.5" customHeight="1">
      <c r="A73" s="137"/>
      <c r="B73" s="140"/>
      <c r="C73" s="140" t="str">
        <f>IF($A73="","",SUM('Situfin serie mensual'!GL72:GS72))</f>
        <v/>
      </c>
      <c r="D73" s="146"/>
      <c r="E73" s="235"/>
      <c r="F73" s="235" t="str">
        <f>IF($A73="","",'2'!N73)</f>
        <v/>
      </c>
      <c r="G73" s="146"/>
      <c r="H73" s="146"/>
      <c r="I73" s="139"/>
    </row>
    <row r="74" spans="1:11" s="26" customFormat="1" ht="6.75" customHeight="1">
      <c r="A74" s="137"/>
      <c r="B74" s="146"/>
      <c r="C74" s="146" t="str">
        <f>IF($A74="","",SUM('Situfin serie mensual'!GL73:GS73))</f>
        <v/>
      </c>
      <c r="D74" s="146"/>
      <c r="E74" s="236"/>
      <c r="F74" s="236" t="str">
        <f>IF($A74="","",'2'!N74)</f>
        <v/>
      </c>
      <c r="G74" s="146"/>
      <c r="H74" s="146"/>
      <c r="I74" s="139"/>
    </row>
    <row r="75" spans="1:11" s="32" customFormat="1" ht="12.75" outlineLevel="2">
      <c r="A75" s="69" t="s">
        <v>91</v>
      </c>
      <c r="B75" s="140">
        <v>9337.4912859769993</v>
      </c>
      <c r="C75" s="140">
        <f>IF($A75="","",SUM('Situfin serie mensual'!GL74:GS74))</f>
        <v>3505.6159294939998</v>
      </c>
      <c r="D75" s="140">
        <f>IFERROR((C75/B75*100),0)</f>
        <v>37.543445258778632</v>
      </c>
      <c r="E75" s="235">
        <v>9760.0668893450002</v>
      </c>
      <c r="F75" s="235">
        <f>IF($A75="","",'2'!N75)</f>
        <v>4591.2709311398676</v>
      </c>
      <c r="G75" s="140">
        <f>IFERROR((F75/E75*100),0)</f>
        <v>47.041387965815353</v>
      </c>
      <c r="H75" s="140">
        <f>IF(C75&lt;&gt;0,F75/C75*100-100," ")</f>
        <v>30.969022947204905</v>
      </c>
      <c r="I75" s="139"/>
      <c r="J75" s="153"/>
      <c r="K75" s="154"/>
    </row>
    <row r="76" spans="1:11" s="143" customFormat="1" ht="12.75">
      <c r="A76" s="70" t="s">
        <v>92</v>
      </c>
      <c r="B76" s="142">
        <v>9219.6928617429985</v>
      </c>
      <c r="C76" s="142">
        <f>IF($A76="","",SUM('Situfin serie mensual'!GL75:GS75))</f>
        <v>3289.2010781560002</v>
      </c>
      <c r="D76" s="142">
        <f>IFERROR((C76/B76*100),0)</f>
        <v>35.675820523311572</v>
      </c>
      <c r="E76" s="234">
        <v>9629.7941164139993</v>
      </c>
      <c r="F76" s="234">
        <f>IF($A76="","",'2'!N76)</f>
        <v>3914.8649037140003</v>
      </c>
      <c r="G76" s="142">
        <f>IFERROR((F76/E76*100),0)</f>
        <v>40.653671889423961</v>
      </c>
      <c r="H76" s="142">
        <f>IF(C76&lt;&gt;0,F76/C76*100-100," ")</f>
        <v>19.02175667255834</v>
      </c>
      <c r="I76" s="139"/>
      <c r="J76" s="155"/>
    </row>
    <row r="77" spans="1:11" s="143" customFormat="1" ht="12.75">
      <c r="A77" s="70" t="s">
        <v>93</v>
      </c>
      <c r="B77" s="142">
        <v>117.798424234</v>
      </c>
      <c r="C77" s="142">
        <f>IF($A77="","",SUM('Situfin serie mensual'!GL76:GS76))</f>
        <v>34.015847119</v>
      </c>
      <c r="D77" s="142">
        <f>IFERROR((C77/B77*100),0)</f>
        <v>28.876317607975317</v>
      </c>
      <c r="E77" s="234">
        <v>130.27277293099999</v>
      </c>
      <c r="F77" s="234">
        <f>IF($A77="","",'2'!N77)</f>
        <v>33.967692365000005</v>
      </c>
      <c r="G77" s="142">
        <f>IFERROR((F77/E77*100),0)</f>
        <v>26.074283674756245</v>
      </c>
      <c r="H77" s="142">
        <f>IF(C77&lt;&gt;0,F77/C77*100-100," ")</f>
        <v>-0.14156564683376871</v>
      </c>
      <c r="I77" s="139"/>
      <c r="J77" s="156"/>
    </row>
    <row r="78" spans="1:11" s="143" customFormat="1" ht="13.5" customHeight="1">
      <c r="A78" s="70" t="s">
        <v>208</v>
      </c>
      <c r="B78" s="142"/>
      <c r="C78" s="142">
        <f>IF($A78="","",SUM('Situfin serie mensual'!GL77:GS77))</f>
        <v>182.39900421900001</v>
      </c>
      <c r="D78" s="142">
        <v>0</v>
      </c>
      <c r="E78" s="234"/>
      <c r="F78" s="234">
        <f>IF($A78="","",'2'!N78)</f>
        <v>642.43833506086696</v>
      </c>
      <c r="G78" s="142">
        <v>0</v>
      </c>
      <c r="H78" s="142">
        <f>IF(C78&lt;&gt;0,F78/C78*100-100," ")</f>
        <v>252.21592234654639</v>
      </c>
      <c r="I78" s="139"/>
      <c r="J78" s="155"/>
    </row>
    <row r="79" spans="1:11" s="143" customFormat="1" ht="13.5">
      <c r="A79" s="150" t="s">
        <v>95</v>
      </c>
      <c r="B79" s="157">
        <v>-6223.1211526549978</v>
      </c>
      <c r="C79" s="157">
        <f>IF($A79="","",SUM('Situfin serie mensual'!GL78:GS78))</f>
        <v>-2561.5544317100002</v>
      </c>
      <c r="D79" s="158">
        <f>IFERROR((C79/B79*100),0)</f>
        <v>41.161892382846396</v>
      </c>
      <c r="E79" s="238">
        <v>-12885.708644345994</v>
      </c>
      <c r="F79" s="238">
        <f>IF($A79="","",'2'!N79)</f>
        <v>-8042.0210331438657</v>
      </c>
      <c r="G79" s="158">
        <f>IFERROR((F79/E79*100),0)</f>
        <v>62.410390108211502</v>
      </c>
      <c r="H79" s="157">
        <f>IF(C79&lt;&gt;0,F79/C79*100-100," ")</f>
        <v>213.95081570744941</v>
      </c>
      <c r="I79" s="139"/>
    </row>
    <row r="80" spans="1:11" s="143" customFormat="1" ht="5.25" customHeight="1">
      <c r="A80" s="70"/>
      <c r="B80" s="142"/>
      <c r="C80" s="142" t="str">
        <f>IF($A80="","",SUM('Situfin serie mensual'!GL79:GS79))</f>
        <v/>
      </c>
      <c r="D80" s="142"/>
      <c r="E80" s="142"/>
      <c r="F80" s="142" t="str">
        <f>IF($A80="","",'2'!N80)</f>
        <v/>
      </c>
      <c r="G80" s="142"/>
      <c r="H80" s="142"/>
      <c r="I80" s="139"/>
    </row>
    <row r="81" spans="1:9" s="143" customFormat="1" ht="12.75">
      <c r="A81" s="159" t="s">
        <v>209</v>
      </c>
      <c r="B81" s="142"/>
      <c r="C81" s="142"/>
      <c r="D81" s="160"/>
      <c r="E81" s="142"/>
      <c r="F81" s="142"/>
      <c r="G81" s="160"/>
      <c r="H81" s="160"/>
      <c r="I81" s="139"/>
    </row>
    <row r="82" spans="1:9" s="143" customFormat="1" ht="7.5" customHeight="1">
      <c r="A82" s="69"/>
      <c r="B82" s="142"/>
      <c r="C82" s="142" t="str">
        <f>IF($A82="","",SUM('Situfin serie mensual'!GL81:GS81))</f>
        <v/>
      </c>
      <c r="D82" s="140"/>
      <c r="E82" s="142"/>
      <c r="F82" s="142" t="str">
        <f>IF($A82="","",'2'!N82)</f>
        <v/>
      </c>
      <c r="G82" s="140"/>
      <c r="H82" s="140"/>
      <c r="I82" s="139"/>
    </row>
    <row r="83" spans="1:9" s="32" customFormat="1" ht="12.75" outlineLevel="2">
      <c r="A83" s="69" t="s">
        <v>96</v>
      </c>
      <c r="B83" s="140">
        <v>-760.78474411500019</v>
      </c>
      <c r="C83" s="140">
        <f>IF($A83="","",SUM('Situfin serie mensual'!GL82:GS82))</f>
        <v>1009.5546348253497</v>
      </c>
      <c r="D83" s="140">
        <f t="shared" ref="D83:D90" si="6">IFERROR((C83/B83*100),0)</f>
        <v>-132.69911662065945</v>
      </c>
      <c r="E83" s="140">
        <v>1158.267077861</v>
      </c>
      <c r="F83" s="140">
        <f>IF($A83="","",'2'!N83)</f>
        <v>8474.0756687674493</v>
      </c>
      <c r="G83" s="140">
        <f t="shared" ref="G83:G95" si="7">IFERROR((F83/E83*100),0)</f>
        <v>731.61672560155398</v>
      </c>
      <c r="H83" s="140">
        <f t="shared" ref="H83:H88" si="8">IF(C83&lt;&gt;0,F83/C83*100-100," ")</f>
        <v>739.38752559275224</v>
      </c>
      <c r="I83" s="139"/>
    </row>
    <row r="84" spans="1:9" s="143" customFormat="1" ht="12.75" customHeight="1">
      <c r="A84" s="70" t="s">
        <v>97</v>
      </c>
      <c r="B84" s="142">
        <v>-760.78474411500019</v>
      </c>
      <c r="C84" s="142">
        <f>IF($A84="","",SUM('Situfin serie mensual'!GL83:GS83))</f>
        <v>1009.5546348253497</v>
      </c>
      <c r="D84" s="142">
        <f t="shared" si="6"/>
        <v>-132.69911662065945</v>
      </c>
      <c r="E84" s="142">
        <v>1158.267077861</v>
      </c>
      <c r="F84" s="142">
        <f>IF($A84="","",'2'!N84)</f>
        <v>8474.0756687674493</v>
      </c>
      <c r="G84" s="142">
        <f t="shared" si="7"/>
        <v>731.61672560155398</v>
      </c>
      <c r="H84" s="142">
        <f t="shared" si="8"/>
        <v>739.38752559275224</v>
      </c>
      <c r="I84" s="139"/>
    </row>
    <row r="85" spans="1:9" s="143" customFormat="1" ht="12.75" customHeight="1">
      <c r="A85" s="70" t="s">
        <v>98</v>
      </c>
      <c r="B85" s="142">
        <v>0</v>
      </c>
      <c r="C85" s="142">
        <f>IF($A85="","",SUM('Situfin serie mensual'!GL84:GS84))</f>
        <v>0</v>
      </c>
      <c r="D85" s="142">
        <f t="shared" si="6"/>
        <v>0</v>
      </c>
      <c r="E85" s="142">
        <v>0</v>
      </c>
      <c r="F85" s="142">
        <f>IF($A85="","",'2'!N85)</f>
        <v>0</v>
      </c>
      <c r="G85" s="142">
        <f t="shared" si="7"/>
        <v>0</v>
      </c>
      <c r="H85" s="142" t="str">
        <f t="shared" si="8"/>
        <v xml:space="preserve"> </v>
      </c>
      <c r="I85" s="139"/>
    </row>
    <row r="86" spans="1:9" s="32" customFormat="1" ht="12.75" outlineLevel="2">
      <c r="A86" s="69" t="s">
        <v>99</v>
      </c>
      <c r="B86" s="140">
        <v>5462.3364085399999</v>
      </c>
      <c r="C86" s="140">
        <f>IF($A86="","",SUM('Situfin serie mensual'!GL85:GS85))</f>
        <v>3907.1233128879999</v>
      </c>
      <c r="D86" s="140">
        <f t="shared" si="6"/>
        <v>71.528427044139434</v>
      </c>
      <c r="E86" s="140">
        <v>14043.975722207</v>
      </c>
      <c r="F86" s="140">
        <f>IF($A86="","",'2'!N86)</f>
        <v>13543.152880037866</v>
      </c>
      <c r="G86" s="140">
        <f t="shared" si="7"/>
        <v>96.433895557244455</v>
      </c>
      <c r="H86" s="140">
        <f t="shared" si="8"/>
        <v>246.62721894045552</v>
      </c>
      <c r="I86" s="139"/>
    </row>
    <row r="87" spans="1:9" s="143" customFormat="1" ht="15" customHeight="1">
      <c r="A87" s="70" t="s">
        <v>97</v>
      </c>
      <c r="B87" s="142">
        <v>-335.2658637589999</v>
      </c>
      <c r="C87" s="142">
        <f>IF($A87="","",SUM('Situfin serie mensual'!GL86:GS86))</f>
        <v>537.13030265100008</v>
      </c>
      <c r="D87" s="142">
        <f t="shared" si="6"/>
        <v>-160.21025720563873</v>
      </c>
      <c r="E87" s="142">
        <v>5585.2873333239995</v>
      </c>
      <c r="F87" s="142">
        <f>IF($A87="","",'2'!N87)</f>
        <v>-84.533628162000326</v>
      </c>
      <c r="G87" s="142">
        <f t="shared" si="7"/>
        <v>-1.5135054495341678</v>
      </c>
      <c r="H87" s="142">
        <f t="shared" si="8"/>
        <v>-115.73801138099743</v>
      </c>
      <c r="I87" s="139"/>
    </row>
    <row r="88" spans="1:9" s="143" customFormat="1" ht="12.75" customHeight="1">
      <c r="A88" s="70" t="s">
        <v>98</v>
      </c>
      <c r="B88" s="142">
        <v>5797.6022722990001</v>
      </c>
      <c r="C88" s="142">
        <f>IF($A88="","",SUM('Situfin serie mensual'!GL87:GS87))</f>
        <v>3369.9930102370004</v>
      </c>
      <c r="D88" s="142">
        <f t="shared" si="6"/>
        <v>58.127357689554856</v>
      </c>
      <c r="E88" s="142">
        <v>8458.6883888829998</v>
      </c>
      <c r="F88" s="142">
        <f>IF($A88="","",'2'!N88)</f>
        <v>13627.686508199868</v>
      </c>
      <c r="G88" s="142">
        <f t="shared" si="7"/>
        <v>161.1087426522335</v>
      </c>
      <c r="H88" s="142">
        <f t="shared" si="8"/>
        <v>304.38322770412742</v>
      </c>
      <c r="I88" s="139"/>
    </row>
    <row r="89" spans="1:9" s="143" customFormat="1" ht="6" customHeight="1">
      <c r="A89" s="70"/>
      <c r="B89" s="142"/>
      <c r="C89" s="142" t="str">
        <f>IF($A89="","",SUM('Situfin serie mensual'!GL88:GS88))</f>
        <v/>
      </c>
      <c r="D89" s="142"/>
      <c r="E89" s="142"/>
      <c r="F89" s="142" t="str">
        <f>IF($A89="","",'2'!N89)</f>
        <v/>
      </c>
      <c r="G89" s="142"/>
      <c r="H89" s="142"/>
      <c r="I89" s="139"/>
    </row>
    <row r="90" spans="1:9" s="26" customFormat="1" ht="12.75">
      <c r="A90" s="69" t="s">
        <v>100</v>
      </c>
      <c r="B90" s="140">
        <v>-269.52323335599999</v>
      </c>
      <c r="C90" s="140">
        <f>IF($A90="","",SUM('Situfin serie mensual'!GL89:GS89))</f>
        <v>563.9187169569999</v>
      </c>
      <c r="D90" s="140">
        <f t="shared" si="6"/>
        <v>-209.22823978300505</v>
      </c>
      <c r="E90" s="140">
        <v>-344.101375276</v>
      </c>
      <c r="F90" s="140">
        <f>IF($A90="","",'2'!N90)</f>
        <v>766.61023044999968</v>
      </c>
      <c r="G90" s="140">
        <f t="shared" si="7"/>
        <v>-222.78615708382739</v>
      </c>
      <c r="H90" s="140">
        <f t="shared" ref="H90:H95" si="9">IF(C90&lt;&gt;0,F90/C90*100-100," ")</f>
        <v>35.94339173325497</v>
      </c>
      <c r="I90" s="139"/>
    </row>
    <row r="91" spans="1:9" s="162" customFormat="1" ht="12.75" customHeight="1">
      <c r="A91" s="70" t="s">
        <v>101</v>
      </c>
      <c r="B91" s="161">
        <v>0</v>
      </c>
      <c r="C91" s="161">
        <f>IF($A91="","",SUM('Situfin serie mensual'!GL90:GS90))</f>
        <v>1921.0440459170002</v>
      </c>
      <c r="D91" s="161">
        <f>IFERROR((C91/B91*100),0)</f>
        <v>0</v>
      </c>
      <c r="E91" s="161">
        <v>0</v>
      </c>
      <c r="F91" s="161">
        <f>IF($A91="","",'2'!N91)</f>
        <v>1698.130253859</v>
      </c>
      <c r="G91" s="161">
        <f t="shared" si="7"/>
        <v>0</v>
      </c>
      <c r="H91" s="161">
        <f t="shared" si="9"/>
        <v>-11.603783501569495</v>
      </c>
      <c r="I91" s="139"/>
    </row>
    <row r="92" spans="1:9" s="162" customFormat="1" ht="12.75" customHeight="1">
      <c r="A92" s="70" t="s">
        <v>102</v>
      </c>
      <c r="B92" s="161">
        <v>269.52323335599999</v>
      </c>
      <c r="C92" s="161">
        <f>IF($A92="","",SUM('Situfin serie mensual'!GL91:GS91))</f>
        <v>1357.1253289600002</v>
      </c>
      <c r="D92" s="161">
        <f>IFERROR((C92/B92*100),0)</f>
        <v>503.5281419199361</v>
      </c>
      <c r="E92" s="161">
        <v>344.101375276</v>
      </c>
      <c r="F92" s="161">
        <f>IF($A92="","",'2'!N92)</f>
        <v>931.52002340899992</v>
      </c>
      <c r="G92" s="161">
        <f t="shared" si="7"/>
        <v>270.71092716843623</v>
      </c>
      <c r="H92" s="161">
        <f t="shared" si="9"/>
        <v>-31.360795975796321</v>
      </c>
      <c r="I92" s="139"/>
    </row>
    <row r="93" spans="1:9" s="162" customFormat="1" ht="6.75" customHeight="1">
      <c r="A93" s="163"/>
      <c r="B93" s="161"/>
      <c r="C93" s="161" t="str">
        <f>IF($A93="","",SUM('Situfin serie mensual'!GL92:GS92))</f>
        <v/>
      </c>
      <c r="D93" s="161"/>
      <c r="E93" s="161"/>
      <c r="F93" s="161" t="str">
        <f>IF($A93="","",'2'!N93)</f>
        <v/>
      </c>
      <c r="G93" s="161"/>
      <c r="H93" s="161"/>
      <c r="I93" s="139"/>
    </row>
    <row r="94" spans="1:9" s="162" customFormat="1" ht="12.75">
      <c r="A94" s="69" t="s">
        <v>103</v>
      </c>
      <c r="B94" s="164">
        <v>3220.5747779859998</v>
      </c>
      <c r="C94" s="164">
        <f>IF($A94="","",SUM('Situfin serie mensual'!GL93:GS93))</f>
        <v>425.51304301535004</v>
      </c>
      <c r="D94" s="164">
        <f>IFERROR((C94/B94*100),0)</f>
        <v>13.212332342782812</v>
      </c>
      <c r="E94" s="164">
        <v>3220.5747779859998</v>
      </c>
      <c r="F94" s="164">
        <f>IF($A94="","",'2'!N94)</f>
        <v>6789.4007912894485</v>
      </c>
      <c r="G94" s="164">
        <f t="shared" si="7"/>
        <v>210.81332554977124</v>
      </c>
      <c r="H94" s="164">
        <f t="shared" si="9"/>
        <v>1495.579948190807</v>
      </c>
      <c r="I94" s="139"/>
    </row>
    <row r="95" spans="1:9" s="162" customFormat="1" ht="12.75">
      <c r="A95" s="29" t="s">
        <v>210</v>
      </c>
      <c r="B95" s="161">
        <v>3220.5747779859998</v>
      </c>
      <c r="C95" s="161">
        <f>IF($A95="","",SUM('Situfin serie mensual'!GL94:GS94))</f>
        <v>425.51304301535004</v>
      </c>
      <c r="D95" s="161">
        <f>IFERROR((C95/B95*100),0)</f>
        <v>13.212332342782812</v>
      </c>
      <c r="E95" s="161">
        <v>3220.5747779859998</v>
      </c>
      <c r="F95" s="161">
        <f>IF($A95="","",'2'!N95)</f>
        <v>6789.4007912894485</v>
      </c>
      <c r="G95" s="161">
        <f t="shared" si="7"/>
        <v>210.81332554977124</v>
      </c>
      <c r="H95" s="161">
        <f t="shared" si="9"/>
        <v>1495.579948190807</v>
      </c>
      <c r="I95" s="139"/>
    </row>
    <row r="96" spans="1:9" s="162" customFormat="1" ht="7.5" customHeight="1">
      <c r="A96" s="143"/>
      <c r="B96" s="161"/>
      <c r="C96" s="161" t="str">
        <f>IF($A96="","",SUM('Situfin serie mensual'!GL95:GS95))</f>
        <v/>
      </c>
      <c r="D96" s="161"/>
      <c r="E96" s="161"/>
      <c r="F96" s="161" t="str">
        <f>IF($A96="","",'2'!N96)</f>
        <v/>
      </c>
      <c r="G96" s="161"/>
      <c r="H96" s="161"/>
      <c r="I96" s="139"/>
    </row>
    <row r="97" spans="1:12" s="162" customFormat="1" ht="12.75" hidden="1" customHeight="1">
      <c r="A97" s="26" t="s">
        <v>211</v>
      </c>
      <c r="B97" s="164"/>
      <c r="C97" s="164">
        <f>IF($A97="","",SUM('Situfin serie mensual'!GL96:GS96))</f>
        <v>336.01424635264999</v>
      </c>
      <c r="D97" s="164"/>
      <c r="E97" s="164">
        <v>0</v>
      </c>
      <c r="F97" s="164">
        <f>IF($A97="","",'2'!N97)</f>
        <v>-2972.9438218734485</v>
      </c>
      <c r="G97" s="165"/>
      <c r="H97" s="166"/>
      <c r="I97" s="139"/>
    </row>
    <row r="98" spans="1:12">
      <c r="B98" s="167"/>
      <c r="C98" s="167" t="str">
        <f>IF($A98="","",SUM('Situfin serie mensual'!GL97:GS97))</f>
        <v/>
      </c>
      <c r="D98" s="167"/>
      <c r="E98" s="167"/>
      <c r="F98" s="167" t="str">
        <f>IF($A98="","",'2'!N98)</f>
        <v/>
      </c>
      <c r="G98" s="168"/>
      <c r="H98" s="168"/>
      <c r="I98" s="139"/>
    </row>
    <row r="99" spans="1:12" ht="15">
      <c r="A99" s="169" t="s">
        <v>212</v>
      </c>
      <c r="B99" s="170"/>
      <c r="D99" s="170"/>
      <c r="E99" s="170"/>
      <c r="F99" s="171"/>
      <c r="I99" s="139"/>
    </row>
    <row r="100" spans="1:12">
      <c r="A100" s="172" t="s">
        <v>213</v>
      </c>
      <c r="B100" s="170"/>
      <c r="D100" s="170"/>
      <c r="E100" s="170"/>
      <c r="F100" s="173"/>
      <c r="G100" s="173"/>
      <c r="H100" s="173"/>
      <c r="I100" s="139"/>
      <c r="J100" s="173"/>
      <c r="K100" s="173"/>
      <c r="L100" s="173"/>
    </row>
    <row r="101" spans="1:12">
      <c r="B101" s="170"/>
      <c r="D101" s="170"/>
      <c r="E101" s="170"/>
      <c r="F101" s="173"/>
      <c r="G101" s="173"/>
      <c r="H101" s="173"/>
      <c r="I101" s="139"/>
      <c r="J101" s="173"/>
      <c r="K101" s="173"/>
      <c r="L101" s="173"/>
    </row>
    <row r="102" spans="1:12">
      <c r="B102" s="170"/>
      <c r="D102" s="170"/>
      <c r="E102" s="170"/>
      <c r="F102" s="173"/>
      <c r="G102" s="173"/>
      <c r="H102" s="173"/>
      <c r="I102" s="174"/>
      <c r="J102" s="173"/>
      <c r="K102" s="173"/>
      <c r="L102" s="173"/>
    </row>
    <row r="103" spans="1:12">
      <c r="B103" s="170"/>
      <c r="D103" s="170"/>
      <c r="E103" s="170"/>
      <c r="F103" s="173"/>
      <c r="G103" s="173"/>
      <c r="H103" s="173"/>
      <c r="I103" s="174"/>
      <c r="J103" s="173"/>
      <c r="K103" s="173"/>
      <c r="L103" s="173"/>
    </row>
    <row r="104" spans="1:12">
      <c r="B104" s="170"/>
      <c r="D104" s="170"/>
      <c r="E104" s="170"/>
      <c r="F104" s="173"/>
      <c r="G104" s="173"/>
      <c r="H104" s="173"/>
      <c r="I104" s="174"/>
      <c r="J104" s="173"/>
      <c r="K104" s="173"/>
      <c r="L104" s="173"/>
    </row>
    <row r="105" spans="1:12">
      <c r="B105" s="170"/>
      <c r="D105" s="170"/>
      <c r="E105" s="170"/>
      <c r="F105" s="173"/>
      <c r="G105" s="173"/>
      <c r="H105" s="173"/>
      <c r="I105" s="174"/>
      <c r="J105" s="173"/>
      <c r="K105" s="173"/>
      <c r="L105" s="173"/>
    </row>
    <row r="106" spans="1:12">
      <c r="B106" s="170"/>
      <c r="D106" s="170"/>
      <c r="E106" s="170"/>
      <c r="F106" s="173"/>
      <c r="G106" s="173"/>
      <c r="H106" s="173"/>
      <c r="I106" s="174"/>
      <c r="J106" s="173"/>
      <c r="K106" s="173"/>
      <c r="L106" s="173"/>
    </row>
    <row r="107" spans="1:12">
      <c r="B107" s="170"/>
      <c r="D107" s="170"/>
      <c r="E107" s="170"/>
      <c r="F107" s="173"/>
      <c r="G107" s="173"/>
      <c r="H107" s="173"/>
      <c r="I107" s="174"/>
      <c r="J107" s="173"/>
      <c r="K107" s="173"/>
      <c r="L107" s="173"/>
    </row>
    <row r="108" spans="1:12">
      <c r="B108" s="170"/>
      <c r="D108" s="170"/>
      <c r="E108" s="170"/>
      <c r="F108" s="173"/>
      <c r="G108" s="173"/>
      <c r="H108" s="173"/>
      <c r="I108" s="174"/>
      <c r="J108" s="173"/>
      <c r="K108" s="173"/>
      <c r="L108" s="173"/>
    </row>
    <row r="109" spans="1:12">
      <c r="B109" s="170"/>
      <c r="D109" s="170"/>
      <c r="E109" s="170"/>
      <c r="F109" s="173"/>
      <c r="G109" s="173"/>
      <c r="H109" s="173"/>
      <c r="I109" s="174"/>
      <c r="J109" s="173"/>
      <c r="K109" s="173"/>
      <c r="L109" s="173"/>
    </row>
    <row r="110" spans="1:12">
      <c r="B110" s="170"/>
      <c r="D110" s="170"/>
      <c r="E110" s="170"/>
      <c r="F110" s="173"/>
      <c r="G110" s="173"/>
      <c r="H110" s="173"/>
      <c r="I110" s="175"/>
      <c r="J110" s="173"/>
      <c r="K110" s="173"/>
      <c r="L110" s="173"/>
    </row>
    <row r="111" spans="1:12">
      <c r="E111" s="170"/>
      <c r="F111" s="173"/>
      <c r="G111" s="173"/>
      <c r="H111" s="173"/>
      <c r="I111" s="174"/>
      <c r="J111" s="173"/>
      <c r="K111" s="173"/>
      <c r="L111" s="173"/>
    </row>
    <row r="112" spans="1:12">
      <c r="E112" s="170"/>
      <c r="F112" s="173"/>
      <c r="G112" s="173"/>
      <c r="H112" s="173"/>
      <c r="I112" s="174"/>
      <c r="J112" s="173"/>
      <c r="K112" s="173"/>
      <c r="L112" s="173"/>
    </row>
    <row r="113" spans="5:12">
      <c r="E113" s="170"/>
      <c r="F113" s="173"/>
      <c r="G113" s="173"/>
      <c r="H113" s="173"/>
      <c r="I113" s="174"/>
      <c r="J113" s="173"/>
      <c r="K113" s="173"/>
      <c r="L113" s="173"/>
    </row>
    <row r="114" spans="5:12">
      <c r="E114" s="170"/>
      <c r="F114" s="173"/>
      <c r="G114" s="173"/>
      <c r="H114" s="173"/>
      <c r="I114" s="174"/>
      <c r="J114" s="173"/>
      <c r="K114" s="173"/>
      <c r="L114" s="173"/>
    </row>
    <row r="115" spans="5:12">
      <c r="E115" s="170"/>
      <c r="F115" s="173"/>
      <c r="G115" s="173"/>
      <c r="H115" s="173"/>
      <c r="I115" s="174"/>
      <c r="J115" s="173"/>
      <c r="K115" s="173"/>
      <c r="L115" s="173"/>
    </row>
    <row r="116" spans="5:12">
      <c r="G116" s="173"/>
      <c r="H116" s="173"/>
      <c r="I116" s="174"/>
      <c r="J116" s="173"/>
      <c r="K116" s="173"/>
      <c r="L116" s="173"/>
    </row>
    <row r="117" spans="5:12">
      <c r="G117" s="173"/>
      <c r="H117" s="173"/>
      <c r="I117" s="174"/>
      <c r="J117" s="173"/>
      <c r="K117" s="173"/>
      <c r="L117" s="173"/>
    </row>
    <row r="118" spans="5:12">
      <c r="G118" s="173"/>
      <c r="H118" s="173"/>
      <c r="I118" s="173"/>
      <c r="J118" s="173"/>
      <c r="K118" s="173"/>
      <c r="L118" s="173"/>
    </row>
    <row r="119" spans="5:12">
      <c r="G119" s="173"/>
      <c r="H119" s="173"/>
      <c r="I119" s="173"/>
      <c r="J119" s="173"/>
      <c r="K119" s="173"/>
      <c r="L119" s="173"/>
    </row>
    <row r="120" spans="5:12">
      <c r="G120" s="173"/>
      <c r="H120" s="173"/>
      <c r="I120" s="173"/>
      <c r="J120" s="173"/>
      <c r="K120" s="173"/>
      <c r="L120" s="173"/>
    </row>
    <row r="121" spans="5:12">
      <c r="G121" s="173"/>
      <c r="H121" s="173"/>
      <c r="I121" s="173"/>
      <c r="J121" s="173"/>
      <c r="K121" s="173"/>
      <c r="L121" s="173"/>
    </row>
    <row r="122" spans="5:12">
      <c r="G122" s="173"/>
      <c r="H122" s="173"/>
      <c r="I122" s="173"/>
      <c r="J122" s="173"/>
      <c r="K122" s="173"/>
      <c r="L122" s="173"/>
    </row>
    <row r="123" spans="5:12">
      <c r="G123" s="173"/>
      <c r="H123" s="173"/>
      <c r="I123" s="173"/>
      <c r="J123" s="173"/>
      <c r="K123" s="173"/>
      <c r="L123" s="173"/>
    </row>
    <row r="124" spans="5:12">
      <c r="G124" s="173"/>
      <c r="H124" s="173"/>
      <c r="I124" s="173"/>
      <c r="J124" s="173"/>
      <c r="K124" s="173"/>
      <c r="L124" s="173"/>
    </row>
    <row r="125" spans="5:12">
      <c r="G125" s="173"/>
      <c r="H125" s="173"/>
      <c r="I125" s="173"/>
      <c r="J125" s="173"/>
      <c r="K125" s="173"/>
      <c r="L125" s="173"/>
    </row>
    <row r="126" spans="5:12">
      <c r="G126" s="173"/>
      <c r="H126" s="173"/>
      <c r="I126" s="173"/>
      <c r="J126" s="173"/>
      <c r="K126" s="173"/>
      <c r="L126" s="173"/>
    </row>
    <row r="127" spans="5:12">
      <c r="G127" s="173"/>
      <c r="H127" s="173"/>
      <c r="I127" s="173"/>
      <c r="J127" s="173"/>
      <c r="K127" s="173"/>
      <c r="L127" s="173"/>
    </row>
    <row r="128" spans="5:12">
      <c r="G128" s="173"/>
      <c r="H128" s="173"/>
      <c r="I128" s="173"/>
      <c r="J128" s="173"/>
      <c r="K128" s="173"/>
      <c r="L128" s="173"/>
    </row>
    <row r="129" spans="7:12">
      <c r="G129" s="173"/>
      <c r="H129" s="173"/>
      <c r="I129" s="173"/>
      <c r="J129" s="173"/>
      <c r="K129" s="173"/>
      <c r="L129" s="173"/>
    </row>
    <row r="130" spans="7:12">
      <c r="G130" s="173"/>
      <c r="H130" s="173"/>
      <c r="I130" s="173"/>
      <c r="J130" s="173"/>
      <c r="K130" s="173"/>
      <c r="L130" s="173"/>
    </row>
    <row r="131" spans="7:12">
      <c r="G131" s="173"/>
      <c r="H131" s="173"/>
      <c r="I131" s="173"/>
      <c r="J131" s="173"/>
      <c r="K131" s="173"/>
      <c r="L131" s="173"/>
    </row>
    <row r="132" spans="7:12">
      <c r="G132" s="173"/>
      <c r="H132" s="173"/>
      <c r="I132" s="173"/>
      <c r="J132" s="173"/>
      <c r="K132" s="173"/>
      <c r="L132" s="173"/>
    </row>
    <row r="133" spans="7:12">
      <c r="G133" s="173"/>
      <c r="H133" s="173"/>
      <c r="I133" s="173"/>
      <c r="J133" s="173"/>
      <c r="K133" s="173"/>
      <c r="L133" s="173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Resumen!A1" display="Resumen!A1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36 C60 C85:C87 C88:C95 C61:C84 C57:C59 C37 C38:C56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102"/>
  <sheetViews>
    <sheetView showGridLines="0" workbookViewId="0">
      <pane ySplit="9" topLeftCell="A10" activePane="bottomLeft" state="frozen"/>
      <selection pane="bottomLeft" activeCell="N79" sqref="N79"/>
    </sheetView>
  </sheetViews>
  <sheetFormatPr baseColWidth="10" defaultColWidth="12.28515625" defaultRowHeight="14.25" outlineLevelRow="2"/>
  <cols>
    <col min="1" max="1" width="53.85546875" style="128" customWidth="1"/>
    <col min="2" max="2" width="7.7109375" style="128" bestFit="1" customWidth="1"/>
    <col min="3" max="3" width="7.7109375" style="128" customWidth="1"/>
    <col min="4" max="4" width="8.28515625" style="128" customWidth="1"/>
    <col min="5" max="5" width="8.42578125" style="128" customWidth="1"/>
    <col min="6" max="6" width="9" style="178" customWidth="1"/>
    <col min="7" max="8" width="8" style="128" customWidth="1"/>
    <col min="9" max="9" width="6.85546875" style="128" customWidth="1"/>
    <col min="10" max="10" width="6.85546875" style="128" hidden="1" customWidth="1"/>
    <col min="11" max="11" width="7.85546875" style="128" hidden="1" customWidth="1"/>
    <col min="12" max="12" width="6.85546875" style="128" hidden="1" customWidth="1"/>
    <col min="13" max="13" width="7.28515625" style="128" hidden="1" customWidth="1"/>
    <col min="14" max="14" width="11.28515625" style="128" customWidth="1"/>
    <col min="15" max="15" width="2.28515625" style="128" customWidth="1"/>
    <col min="16" max="256" width="12.28515625" style="128"/>
    <col min="257" max="257" width="53.85546875" style="128" customWidth="1"/>
    <col min="258" max="258" width="7.7109375" style="128" bestFit="1" customWidth="1"/>
    <col min="259" max="259" width="7.7109375" style="128" customWidth="1"/>
    <col min="260" max="260" width="8.28515625" style="128" customWidth="1"/>
    <col min="261" max="261" width="8.42578125" style="128" customWidth="1"/>
    <col min="262" max="262" width="9" style="128" customWidth="1"/>
    <col min="263" max="263" width="8" style="128" customWidth="1"/>
    <col min="264" max="269" width="0" style="128" hidden="1" customWidth="1"/>
    <col min="270" max="270" width="11.28515625" style="128" customWidth="1"/>
    <col min="271" max="512" width="12.28515625" style="128"/>
    <col min="513" max="513" width="53.85546875" style="128" customWidth="1"/>
    <col min="514" max="514" width="7.7109375" style="128" bestFit="1" customWidth="1"/>
    <col min="515" max="515" width="7.7109375" style="128" customWidth="1"/>
    <col min="516" max="516" width="8.28515625" style="128" customWidth="1"/>
    <col min="517" max="517" width="8.42578125" style="128" customWidth="1"/>
    <col min="518" max="518" width="9" style="128" customWidth="1"/>
    <col min="519" max="519" width="8" style="128" customWidth="1"/>
    <col min="520" max="525" width="0" style="128" hidden="1" customWidth="1"/>
    <col min="526" max="526" width="11.28515625" style="128" customWidth="1"/>
    <col min="527" max="768" width="12.28515625" style="128"/>
    <col min="769" max="769" width="53.85546875" style="128" customWidth="1"/>
    <col min="770" max="770" width="7.7109375" style="128" bestFit="1" customWidth="1"/>
    <col min="771" max="771" width="7.7109375" style="128" customWidth="1"/>
    <col min="772" max="772" width="8.28515625" style="128" customWidth="1"/>
    <col min="773" max="773" width="8.42578125" style="128" customWidth="1"/>
    <col min="774" max="774" width="9" style="128" customWidth="1"/>
    <col min="775" max="775" width="8" style="128" customWidth="1"/>
    <col min="776" max="781" width="0" style="128" hidden="1" customWidth="1"/>
    <col min="782" max="782" width="11.28515625" style="128" customWidth="1"/>
    <col min="783" max="1024" width="12.28515625" style="128"/>
    <col min="1025" max="1025" width="53.85546875" style="128" customWidth="1"/>
    <col min="1026" max="1026" width="7.7109375" style="128" bestFit="1" customWidth="1"/>
    <col min="1027" max="1027" width="7.7109375" style="128" customWidth="1"/>
    <col min="1028" max="1028" width="8.28515625" style="128" customWidth="1"/>
    <col min="1029" max="1029" width="8.42578125" style="128" customWidth="1"/>
    <col min="1030" max="1030" width="9" style="128" customWidth="1"/>
    <col min="1031" max="1031" width="8" style="128" customWidth="1"/>
    <col min="1032" max="1037" width="0" style="128" hidden="1" customWidth="1"/>
    <col min="1038" max="1038" width="11.28515625" style="128" customWidth="1"/>
    <col min="1039" max="1280" width="12.28515625" style="128"/>
    <col min="1281" max="1281" width="53.85546875" style="128" customWidth="1"/>
    <col min="1282" max="1282" width="7.7109375" style="128" bestFit="1" customWidth="1"/>
    <col min="1283" max="1283" width="7.7109375" style="128" customWidth="1"/>
    <col min="1284" max="1284" width="8.28515625" style="128" customWidth="1"/>
    <col min="1285" max="1285" width="8.42578125" style="128" customWidth="1"/>
    <col min="1286" max="1286" width="9" style="128" customWidth="1"/>
    <col min="1287" max="1287" width="8" style="128" customWidth="1"/>
    <col min="1288" max="1293" width="0" style="128" hidden="1" customWidth="1"/>
    <col min="1294" max="1294" width="11.28515625" style="128" customWidth="1"/>
    <col min="1295" max="1536" width="12.28515625" style="128"/>
    <col min="1537" max="1537" width="53.85546875" style="128" customWidth="1"/>
    <col min="1538" max="1538" width="7.7109375" style="128" bestFit="1" customWidth="1"/>
    <col min="1539" max="1539" width="7.7109375" style="128" customWidth="1"/>
    <col min="1540" max="1540" width="8.28515625" style="128" customWidth="1"/>
    <col min="1541" max="1541" width="8.42578125" style="128" customWidth="1"/>
    <col min="1542" max="1542" width="9" style="128" customWidth="1"/>
    <col min="1543" max="1543" width="8" style="128" customWidth="1"/>
    <col min="1544" max="1549" width="0" style="128" hidden="1" customWidth="1"/>
    <col min="1550" max="1550" width="11.28515625" style="128" customWidth="1"/>
    <col min="1551" max="1792" width="12.28515625" style="128"/>
    <col min="1793" max="1793" width="53.85546875" style="128" customWidth="1"/>
    <col min="1794" max="1794" width="7.7109375" style="128" bestFit="1" customWidth="1"/>
    <col min="1795" max="1795" width="7.7109375" style="128" customWidth="1"/>
    <col min="1796" max="1796" width="8.28515625" style="128" customWidth="1"/>
    <col min="1797" max="1797" width="8.42578125" style="128" customWidth="1"/>
    <col min="1798" max="1798" width="9" style="128" customWidth="1"/>
    <col min="1799" max="1799" width="8" style="128" customWidth="1"/>
    <col min="1800" max="1805" width="0" style="128" hidden="1" customWidth="1"/>
    <col min="1806" max="1806" width="11.28515625" style="128" customWidth="1"/>
    <col min="1807" max="2048" width="12.28515625" style="128"/>
    <col min="2049" max="2049" width="53.85546875" style="128" customWidth="1"/>
    <col min="2050" max="2050" width="7.7109375" style="128" bestFit="1" customWidth="1"/>
    <col min="2051" max="2051" width="7.7109375" style="128" customWidth="1"/>
    <col min="2052" max="2052" width="8.28515625" style="128" customWidth="1"/>
    <col min="2053" max="2053" width="8.42578125" style="128" customWidth="1"/>
    <col min="2054" max="2054" width="9" style="128" customWidth="1"/>
    <col min="2055" max="2055" width="8" style="128" customWidth="1"/>
    <col min="2056" max="2061" width="0" style="128" hidden="1" customWidth="1"/>
    <col min="2062" max="2062" width="11.28515625" style="128" customWidth="1"/>
    <col min="2063" max="2304" width="12.28515625" style="128"/>
    <col min="2305" max="2305" width="53.85546875" style="128" customWidth="1"/>
    <col min="2306" max="2306" width="7.7109375" style="128" bestFit="1" customWidth="1"/>
    <col min="2307" max="2307" width="7.7109375" style="128" customWidth="1"/>
    <col min="2308" max="2308" width="8.28515625" style="128" customWidth="1"/>
    <col min="2309" max="2309" width="8.42578125" style="128" customWidth="1"/>
    <col min="2310" max="2310" width="9" style="128" customWidth="1"/>
    <col min="2311" max="2311" width="8" style="128" customWidth="1"/>
    <col min="2312" max="2317" width="0" style="128" hidden="1" customWidth="1"/>
    <col min="2318" max="2318" width="11.28515625" style="128" customWidth="1"/>
    <col min="2319" max="2560" width="12.28515625" style="128"/>
    <col min="2561" max="2561" width="53.85546875" style="128" customWidth="1"/>
    <col min="2562" max="2562" width="7.7109375" style="128" bestFit="1" customWidth="1"/>
    <col min="2563" max="2563" width="7.7109375" style="128" customWidth="1"/>
    <col min="2564" max="2564" width="8.28515625" style="128" customWidth="1"/>
    <col min="2565" max="2565" width="8.42578125" style="128" customWidth="1"/>
    <col min="2566" max="2566" width="9" style="128" customWidth="1"/>
    <col min="2567" max="2567" width="8" style="128" customWidth="1"/>
    <col min="2568" max="2573" width="0" style="128" hidden="1" customWidth="1"/>
    <col min="2574" max="2574" width="11.28515625" style="128" customWidth="1"/>
    <col min="2575" max="2816" width="12.28515625" style="128"/>
    <col min="2817" max="2817" width="53.85546875" style="128" customWidth="1"/>
    <col min="2818" max="2818" width="7.7109375" style="128" bestFit="1" customWidth="1"/>
    <col min="2819" max="2819" width="7.7109375" style="128" customWidth="1"/>
    <col min="2820" max="2820" width="8.28515625" style="128" customWidth="1"/>
    <col min="2821" max="2821" width="8.42578125" style="128" customWidth="1"/>
    <col min="2822" max="2822" width="9" style="128" customWidth="1"/>
    <col min="2823" max="2823" width="8" style="128" customWidth="1"/>
    <col min="2824" max="2829" width="0" style="128" hidden="1" customWidth="1"/>
    <col min="2830" max="2830" width="11.28515625" style="128" customWidth="1"/>
    <col min="2831" max="3072" width="12.28515625" style="128"/>
    <col min="3073" max="3073" width="53.85546875" style="128" customWidth="1"/>
    <col min="3074" max="3074" width="7.7109375" style="128" bestFit="1" customWidth="1"/>
    <col min="3075" max="3075" width="7.7109375" style="128" customWidth="1"/>
    <col min="3076" max="3076" width="8.28515625" style="128" customWidth="1"/>
    <col min="3077" max="3077" width="8.42578125" style="128" customWidth="1"/>
    <col min="3078" max="3078" width="9" style="128" customWidth="1"/>
    <col min="3079" max="3079" width="8" style="128" customWidth="1"/>
    <col min="3080" max="3085" width="0" style="128" hidden="1" customWidth="1"/>
    <col min="3086" max="3086" width="11.28515625" style="128" customWidth="1"/>
    <col min="3087" max="3328" width="12.28515625" style="128"/>
    <col min="3329" max="3329" width="53.85546875" style="128" customWidth="1"/>
    <col min="3330" max="3330" width="7.7109375" style="128" bestFit="1" customWidth="1"/>
    <col min="3331" max="3331" width="7.7109375" style="128" customWidth="1"/>
    <col min="3332" max="3332" width="8.28515625" style="128" customWidth="1"/>
    <col min="3333" max="3333" width="8.42578125" style="128" customWidth="1"/>
    <col min="3334" max="3334" width="9" style="128" customWidth="1"/>
    <col min="3335" max="3335" width="8" style="128" customWidth="1"/>
    <col min="3336" max="3341" width="0" style="128" hidden="1" customWidth="1"/>
    <col min="3342" max="3342" width="11.28515625" style="128" customWidth="1"/>
    <col min="3343" max="3584" width="12.28515625" style="128"/>
    <col min="3585" max="3585" width="53.85546875" style="128" customWidth="1"/>
    <col min="3586" max="3586" width="7.7109375" style="128" bestFit="1" customWidth="1"/>
    <col min="3587" max="3587" width="7.7109375" style="128" customWidth="1"/>
    <col min="3588" max="3588" width="8.28515625" style="128" customWidth="1"/>
    <col min="3589" max="3589" width="8.42578125" style="128" customWidth="1"/>
    <col min="3590" max="3590" width="9" style="128" customWidth="1"/>
    <col min="3591" max="3591" width="8" style="128" customWidth="1"/>
    <col min="3592" max="3597" width="0" style="128" hidden="1" customWidth="1"/>
    <col min="3598" max="3598" width="11.28515625" style="128" customWidth="1"/>
    <col min="3599" max="3840" width="12.28515625" style="128"/>
    <col min="3841" max="3841" width="53.85546875" style="128" customWidth="1"/>
    <col min="3842" max="3842" width="7.7109375" style="128" bestFit="1" customWidth="1"/>
    <col min="3843" max="3843" width="7.7109375" style="128" customWidth="1"/>
    <col min="3844" max="3844" width="8.28515625" style="128" customWidth="1"/>
    <col min="3845" max="3845" width="8.42578125" style="128" customWidth="1"/>
    <col min="3846" max="3846" width="9" style="128" customWidth="1"/>
    <col min="3847" max="3847" width="8" style="128" customWidth="1"/>
    <col min="3848" max="3853" width="0" style="128" hidden="1" customWidth="1"/>
    <col min="3854" max="3854" width="11.28515625" style="128" customWidth="1"/>
    <col min="3855" max="4096" width="12.28515625" style="128"/>
    <col min="4097" max="4097" width="53.85546875" style="128" customWidth="1"/>
    <col min="4098" max="4098" width="7.7109375" style="128" bestFit="1" customWidth="1"/>
    <col min="4099" max="4099" width="7.7109375" style="128" customWidth="1"/>
    <col min="4100" max="4100" width="8.28515625" style="128" customWidth="1"/>
    <col min="4101" max="4101" width="8.42578125" style="128" customWidth="1"/>
    <col min="4102" max="4102" width="9" style="128" customWidth="1"/>
    <col min="4103" max="4103" width="8" style="128" customWidth="1"/>
    <col min="4104" max="4109" width="0" style="128" hidden="1" customWidth="1"/>
    <col min="4110" max="4110" width="11.28515625" style="128" customWidth="1"/>
    <col min="4111" max="4352" width="12.28515625" style="128"/>
    <col min="4353" max="4353" width="53.85546875" style="128" customWidth="1"/>
    <col min="4354" max="4354" width="7.7109375" style="128" bestFit="1" customWidth="1"/>
    <col min="4355" max="4355" width="7.7109375" style="128" customWidth="1"/>
    <col min="4356" max="4356" width="8.28515625" style="128" customWidth="1"/>
    <col min="4357" max="4357" width="8.42578125" style="128" customWidth="1"/>
    <col min="4358" max="4358" width="9" style="128" customWidth="1"/>
    <col min="4359" max="4359" width="8" style="128" customWidth="1"/>
    <col min="4360" max="4365" width="0" style="128" hidden="1" customWidth="1"/>
    <col min="4366" max="4366" width="11.28515625" style="128" customWidth="1"/>
    <col min="4367" max="4608" width="12.28515625" style="128"/>
    <col min="4609" max="4609" width="53.85546875" style="128" customWidth="1"/>
    <col min="4610" max="4610" width="7.7109375" style="128" bestFit="1" customWidth="1"/>
    <col min="4611" max="4611" width="7.7109375" style="128" customWidth="1"/>
    <col min="4612" max="4612" width="8.28515625" style="128" customWidth="1"/>
    <col min="4613" max="4613" width="8.42578125" style="128" customWidth="1"/>
    <col min="4614" max="4614" width="9" style="128" customWidth="1"/>
    <col min="4615" max="4615" width="8" style="128" customWidth="1"/>
    <col min="4616" max="4621" width="0" style="128" hidden="1" customWidth="1"/>
    <col min="4622" max="4622" width="11.28515625" style="128" customWidth="1"/>
    <col min="4623" max="4864" width="12.28515625" style="128"/>
    <col min="4865" max="4865" width="53.85546875" style="128" customWidth="1"/>
    <col min="4866" max="4866" width="7.7109375" style="128" bestFit="1" customWidth="1"/>
    <col min="4867" max="4867" width="7.7109375" style="128" customWidth="1"/>
    <col min="4868" max="4868" width="8.28515625" style="128" customWidth="1"/>
    <col min="4869" max="4869" width="8.42578125" style="128" customWidth="1"/>
    <col min="4870" max="4870" width="9" style="128" customWidth="1"/>
    <col min="4871" max="4871" width="8" style="128" customWidth="1"/>
    <col min="4872" max="4877" width="0" style="128" hidden="1" customWidth="1"/>
    <col min="4878" max="4878" width="11.28515625" style="128" customWidth="1"/>
    <col min="4879" max="5120" width="12.28515625" style="128"/>
    <col min="5121" max="5121" width="53.85546875" style="128" customWidth="1"/>
    <col min="5122" max="5122" width="7.7109375" style="128" bestFit="1" customWidth="1"/>
    <col min="5123" max="5123" width="7.7109375" style="128" customWidth="1"/>
    <col min="5124" max="5124" width="8.28515625" style="128" customWidth="1"/>
    <col min="5125" max="5125" width="8.42578125" style="128" customWidth="1"/>
    <col min="5126" max="5126" width="9" style="128" customWidth="1"/>
    <col min="5127" max="5127" width="8" style="128" customWidth="1"/>
    <col min="5128" max="5133" width="0" style="128" hidden="1" customWidth="1"/>
    <col min="5134" max="5134" width="11.28515625" style="128" customWidth="1"/>
    <col min="5135" max="5376" width="12.28515625" style="128"/>
    <col min="5377" max="5377" width="53.85546875" style="128" customWidth="1"/>
    <col min="5378" max="5378" width="7.7109375" style="128" bestFit="1" customWidth="1"/>
    <col min="5379" max="5379" width="7.7109375" style="128" customWidth="1"/>
    <col min="5380" max="5380" width="8.28515625" style="128" customWidth="1"/>
    <col min="5381" max="5381" width="8.42578125" style="128" customWidth="1"/>
    <col min="5382" max="5382" width="9" style="128" customWidth="1"/>
    <col min="5383" max="5383" width="8" style="128" customWidth="1"/>
    <col min="5384" max="5389" width="0" style="128" hidden="1" customWidth="1"/>
    <col min="5390" max="5390" width="11.28515625" style="128" customWidth="1"/>
    <col min="5391" max="5632" width="12.28515625" style="128"/>
    <col min="5633" max="5633" width="53.85546875" style="128" customWidth="1"/>
    <col min="5634" max="5634" width="7.7109375" style="128" bestFit="1" customWidth="1"/>
    <col min="5635" max="5635" width="7.7109375" style="128" customWidth="1"/>
    <col min="5636" max="5636" width="8.28515625" style="128" customWidth="1"/>
    <col min="5637" max="5637" width="8.42578125" style="128" customWidth="1"/>
    <col min="5638" max="5638" width="9" style="128" customWidth="1"/>
    <col min="5639" max="5639" width="8" style="128" customWidth="1"/>
    <col min="5640" max="5645" width="0" style="128" hidden="1" customWidth="1"/>
    <col min="5646" max="5646" width="11.28515625" style="128" customWidth="1"/>
    <col min="5647" max="5888" width="12.28515625" style="128"/>
    <col min="5889" max="5889" width="53.85546875" style="128" customWidth="1"/>
    <col min="5890" max="5890" width="7.7109375" style="128" bestFit="1" customWidth="1"/>
    <col min="5891" max="5891" width="7.7109375" style="128" customWidth="1"/>
    <col min="5892" max="5892" width="8.28515625" style="128" customWidth="1"/>
    <col min="5893" max="5893" width="8.42578125" style="128" customWidth="1"/>
    <col min="5894" max="5894" width="9" style="128" customWidth="1"/>
    <col min="5895" max="5895" width="8" style="128" customWidth="1"/>
    <col min="5896" max="5901" width="0" style="128" hidden="1" customWidth="1"/>
    <col min="5902" max="5902" width="11.28515625" style="128" customWidth="1"/>
    <col min="5903" max="6144" width="12.28515625" style="128"/>
    <col min="6145" max="6145" width="53.85546875" style="128" customWidth="1"/>
    <col min="6146" max="6146" width="7.7109375" style="128" bestFit="1" customWidth="1"/>
    <col min="6147" max="6147" width="7.7109375" style="128" customWidth="1"/>
    <col min="6148" max="6148" width="8.28515625" style="128" customWidth="1"/>
    <col min="6149" max="6149" width="8.42578125" style="128" customWidth="1"/>
    <col min="6150" max="6150" width="9" style="128" customWidth="1"/>
    <col min="6151" max="6151" width="8" style="128" customWidth="1"/>
    <col min="6152" max="6157" width="0" style="128" hidden="1" customWidth="1"/>
    <col min="6158" max="6158" width="11.28515625" style="128" customWidth="1"/>
    <col min="6159" max="6400" width="12.28515625" style="128"/>
    <col min="6401" max="6401" width="53.85546875" style="128" customWidth="1"/>
    <col min="6402" max="6402" width="7.7109375" style="128" bestFit="1" customWidth="1"/>
    <col min="6403" max="6403" width="7.7109375" style="128" customWidth="1"/>
    <col min="6404" max="6404" width="8.28515625" style="128" customWidth="1"/>
    <col min="6405" max="6405" width="8.42578125" style="128" customWidth="1"/>
    <col min="6406" max="6406" width="9" style="128" customWidth="1"/>
    <col min="6407" max="6407" width="8" style="128" customWidth="1"/>
    <col min="6408" max="6413" width="0" style="128" hidden="1" customWidth="1"/>
    <col min="6414" max="6414" width="11.28515625" style="128" customWidth="1"/>
    <col min="6415" max="6656" width="12.28515625" style="128"/>
    <col min="6657" max="6657" width="53.85546875" style="128" customWidth="1"/>
    <col min="6658" max="6658" width="7.7109375" style="128" bestFit="1" customWidth="1"/>
    <col min="6659" max="6659" width="7.7109375" style="128" customWidth="1"/>
    <col min="6660" max="6660" width="8.28515625" style="128" customWidth="1"/>
    <col min="6661" max="6661" width="8.42578125" style="128" customWidth="1"/>
    <col min="6662" max="6662" width="9" style="128" customWidth="1"/>
    <col min="6663" max="6663" width="8" style="128" customWidth="1"/>
    <col min="6664" max="6669" width="0" style="128" hidden="1" customWidth="1"/>
    <col min="6670" max="6670" width="11.28515625" style="128" customWidth="1"/>
    <col min="6671" max="6912" width="12.28515625" style="128"/>
    <col min="6913" max="6913" width="53.85546875" style="128" customWidth="1"/>
    <col min="6914" max="6914" width="7.7109375" style="128" bestFit="1" customWidth="1"/>
    <col min="6915" max="6915" width="7.7109375" style="128" customWidth="1"/>
    <col min="6916" max="6916" width="8.28515625" style="128" customWidth="1"/>
    <col min="6917" max="6917" width="8.42578125" style="128" customWidth="1"/>
    <col min="6918" max="6918" width="9" style="128" customWidth="1"/>
    <col min="6919" max="6919" width="8" style="128" customWidth="1"/>
    <col min="6920" max="6925" width="0" style="128" hidden="1" customWidth="1"/>
    <col min="6926" max="6926" width="11.28515625" style="128" customWidth="1"/>
    <col min="6927" max="7168" width="12.28515625" style="128"/>
    <col min="7169" max="7169" width="53.85546875" style="128" customWidth="1"/>
    <col min="7170" max="7170" width="7.7109375" style="128" bestFit="1" customWidth="1"/>
    <col min="7171" max="7171" width="7.7109375" style="128" customWidth="1"/>
    <col min="7172" max="7172" width="8.28515625" style="128" customWidth="1"/>
    <col min="7173" max="7173" width="8.42578125" style="128" customWidth="1"/>
    <col min="7174" max="7174" width="9" style="128" customWidth="1"/>
    <col min="7175" max="7175" width="8" style="128" customWidth="1"/>
    <col min="7176" max="7181" width="0" style="128" hidden="1" customWidth="1"/>
    <col min="7182" max="7182" width="11.28515625" style="128" customWidth="1"/>
    <col min="7183" max="7424" width="12.28515625" style="128"/>
    <col min="7425" max="7425" width="53.85546875" style="128" customWidth="1"/>
    <col min="7426" max="7426" width="7.7109375" style="128" bestFit="1" customWidth="1"/>
    <col min="7427" max="7427" width="7.7109375" style="128" customWidth="1"/>
    <col min="7428" max="7428" width="8.28515625" style="128" customWidth="1"/>
    <col min="7429" max="7429" width="8.42578125" style="128" customWidth="1"/>
    <col min="7430" max="7430" width="9" style="128" customWidth="1"/>
    <col min="7431" max="7431" width="8" style="128" customWidth="1"/>
    <col min="7432" max="7437" width="0" style="128" hidden="1" customWidth="1"/>
    <col min="7438" max="7438" width="11.28515625" style="128" customWidth="1"/>
    <col min="7439" max="7680" width="12.28515625" style="128"/>
    <col min="7681" max="7681" width="53.85546875" style="128" customWidth="1"/>
    <col min="7682" max="7682" width="7.7109375" style="128" bestFit="1" customWidth="1"/>
    <col min="7683" max="7683" width="7.7109375" style="128" customWidth="1"/>
    <col min="7684" max="7684" width="8.28515625" style="128" customWidth="1"/>
    <col min="7685" max="7685" width="8.42578125" style="128" customWidth="1"/>
    <col min="7686" max="7686" width="9" style="128" customWidth="1"/>
    <col min="7687" max="7687" width="8" style="128" customWidth="1"/>
    <col min="7688" max="7693" width="0" style="128" hidden="1" customWidth="1"/>
    <col min="7694" max="7694" width="11.28515625" style="128" customWidth="1"/>
    <col min="7695" max="7936" width="12.28515625" style="128"/>
    <col min="7937" max="7937" width="53.85546875" style="128" customWidth="1"/>
    <col min="7938" max="7938" width="7.7109375" style="128" bestFit="1" customWidth="1"/>
    <col min="7939" max="7939" width="7.7109375" style="128" customWidth="1"/>
    <col min="7940" max="7940" width="8.28515625" style="128" customWidth="1"/>
    <col min="7941" max="7941" width="8.42578125" style="128" customWidth="1"/>
    <col min="7942" max="7942" width="9" style="128" customWidth="1"/>
    <col min="7943" max="7943" width="8" style="128" customWidth="1"/>
    <col min="7944" max="7949" width="0" style="128" hidden="1" customWidth="1"/>
    <col min="7950" max="7950" width="11.28515625" style="128" customWidth="1"/>
    <col min="7951" max="8192" width="12.28515625" style="128"/>
    <col min="8193" max="8193" width="53.85546875" style="128" customWidth="1"/>
    <col min="8194" max="8194" width="7.7109375" style="128" bestFit="1" customWidth="1"/>
    <col min="8195" max="8195" width="7.7109375" style="128" customWidth="1"/>
    <col min="8196" max="8196" width="8.28515625" style="128" customWidth="1"/>
    <col min="8197" max="8197" width="8.42578125" style="128" customWidth="1"/>
    <col min="8198" max="8198" width="9" style="128" customWidth="1"/>
    <col min="8199" max="8199" width="8" style="128" customWidth="1"/>
    <col min="8200" max="8205" width="0" style="128" hidden="1" customWidth="1"/>
    <col min="8206" max="8206" width="11.28515625" style="128" customWidth="1"/>
    <col min="8207" max="8448" width="12.28515625" style="128"/>
    <col min="8449" max="8449" width="53.85546875" style="128" customWidth="1"/>
    <col min="8450" max="8450" width="7.7109375" style="128" bestFit="1" customWidth="1"/>
    <col min="8451" max="8451" width="7.7109375" style="128" customWidth="1"/>
    <col min="8452" max="8452" width="8.28515625" style="128" customWidth="1"/>
    <col min="8453" max="8453" width="8.42578125" style="128" customWidth="1"/>
    <col min="8454" max="8454" width="9" style="128" customWidth="1"/>
    <col min="8455" max="8455" width="8" style="128" customWidth="1"/>
    <col min="8456" max="8461" width="0" style="128" hidden="1" customWidth="1"/>
    <col min="8462" max="8462" width="11.28515625" style="128" customWidth="1"/>
    <col min="8463" max="8704" width="12.28515625" style="128"/>
    <col min="8705" max="8705" width="53.85546875" style="128" customWidth="1"/>
    <col min="8706" max="8706" width="7.7109375" style="128" bestFit="1" customWidth="1"/>
    <col min="8707" max="8707" width="7.7109375" style="128" customWidth="1"/>
    <col min="8708" max="8708" width="8.28515625" style="128" customWidth="1"/>
    <col min="8709" max="8709" width="8.42578125" style="128" customWidth="1"/>
    <col min="8710" max="8710" width="9" style="128" customWidth="1"/>
    <col min="8711" max="8711" width="8" style="128" customWidth="1"/>
    <col min="8712" max="8717" width="0" style="128" hidden="1" customWidth="1"/>
    <col min="8718" max="8718" width="11.28515625" style="128" customWidth="1"/>
    <col min="8719" max="8960" width="12.28515625" style="128"/>
    <col min="8961" max="8961" width="53.85546875" style="128" customWidth="1"/>
    <col min="8962" max="8962" width="7.7109375" style="128" bestFit="1" customWidth="1"/>
    <col min="8963" max="8963" width="7.7109375" style="128" customWidth="1"/>
    <col min="8964" max="8964" width="8.28515625" style="128" customWidth="1"/>
    <col min="8965" max="8965" width="8.42578125" style="128" customWidth="1"/>
    <col min="8966" max="8966" width="9" style="128" customWidth="1"/>
    <col min="8967" max="8967" width="8" style="128" customWidth="1"/>
    <col min="8968" max="8973" width="0" style="128" hidden="1" customWidth="1"/>
    <col min="8974" max="8974" width="11.28515625" style="128" customWidth="1"/>
    <col min="8975" max="9216" width="12.28515625" style="128"/>
    <col min="9217" max="9217" width="53.85546875" style="128" customWidth="1"/>
    <col min="9218" max="9218" width="7.7109375" style="128" bestFit="1" customWidth="1"/>
    <col min="9219" max="9219" width="7.7109375" style="128" customWidth="1"/>
    <col min="9220" max="9220" width="8.28515625" style="128" customWidth="1"/>
    <col min="9221" max="9221" width="8.42578125" style="128" customWidth="1"/>
    <col min="9222" max="9222" width="9" style="128" customWidth="1"/>
    <col min="9223" max="9223" width="8" style="128" customWidth="1"/>
    <col min="9224" max="9229" width="0" style="128" hidden="1" customWidth="1"/>
    <col min="9230" max="9230" width="11.28515625" style="128" customWidth="1"/>
    <col min="9231" max="9472" width="12.28515625" style="128"/>
    <col min="9473" max="9473" width="53.85546875" style="128" customWidth="1"/>
    <col min="9474" max="9474" width="7.7109375" style="128" bestFit="1" customWidth="1"/>
    <col min="9475" max="9475" width="7.7109375" style="128" customWidth="1"/>
    <col min="9476" max="9476" width="8.28515625" style="128" customWidth="1"/>
    <col min="9477" max="9477" width="8.42578125" style="128" customWidth="1"/>
    <col min="9478" max="9478" width="9" style="128" customWidth="1"/>
    <col min="9479" max="9479" width="8" style="128" customWidth="1"/>
    <col min="9480" max="9485" width="0" style="128" hidden="1" customWidth="1"/>
    <col min="9486" max="9486" width="11.28515625" style="128" customWidth="1"/>
    <col min="9487" max="9728" width="12.28515625" style="128"/>
    <col min="9729" max="9729" width="53.85546875" style="128" customWidth="1"/>
    <col min="9730" max="9730" width="7.7109375" style="128" bestFit="1" customWidth="1"/>
    <col min="9731" max="9731" width="7.7109375" style="128" customWidth="1"/>
    <col min="9732" max="9732" width="8.28515625" style="128" customWidth="1"/>
    <col min="9733" max="9733" width="8.42578125" style="128" customWidth="1"/>
    <col min="9734" max="9734" width="9" style="128" customWidth="1"/>
    <col min="9735" max="9735" width="8" style="128" customWidth="1"/>
    <col min="9736" max="9741" width="0" style="128" hidden="1" customWidth="1"/>
    <col min="9742" max="9742" width="11.28515625" style="128" customWidth="1"/>
    <col min="9743" max="9984" width="12.28515625" style="128"/>
    <col min="9985" max="9985" width="53.85546875" style="128" customWidth="1"/>
    <col min="9986" max="9986" width="7.7109375" style="128" bestFit="1" customWidth="1"/>
    <col min="9987" max="9987" width="7.7109375" style="128" customWidth="1"/>
    <col min="9988" max="9988" width="8.28515625" style="128" customWidth="1"/>
    <col min="9989" max="9989" width="8.42578125" style="128" customWidth="1"/>
    <col min="9990" max="9990" width="9" style="128" customWidth="1"/>
    <col min="9991" max="9991" width="8" style="128" customWidth="1"/>
    <col min="9992" max="9997" width="0" style="128" hidden="1" customWidth="1"/>
    <col min="9998" max="9998" width="11.28515625" style="128" customWidth="1"/>
    <col min="9999" max="10240" width="12.28515625" style="128"/>
    <col min="10241" max="10241" width="53.85546875" style="128" customWidth="1"/>
    <col min="10242" max="10242" width="7.7109375" style="128" bestFit="1" customWidth="1"/>
    <col min="10243" max="10243" width="7.7109375" style="128" customWidth="1"/>
    <col min="10244" max="10244" width="8.28515625" style="128" customWidth="1"/>
    <col min="10245" max="10245" width="8.42578125" style="128" customWidth="1"/>
    <col min="10246" max="10246" width="9" style="128" customWidth="1"/>
    <col min="10247" max="10247" width="8" style="128" customWidth="1"/>
    <col min="10248" max="10253" width="0" style="128" hidden="1" customWidth="1"/>
    <col min="10254" max="10254" width="11.28515625" style="128" customWidth="1"/>
    <col min="10255" max="10496" width="12.28515625" style="128"/>
    <col min="10497" max="10497" width="53.85546875" style="128" customWidth="1"/>
    <col min="10498" max="10498" width="7.7109375" style="128" bestFit="1" customWidth="1"/>
    <col min="10499" max="10499" width="7.7109375" style="128" customWidth="1"/>
    <col min="10500" max="10500" width="8.28515625" style="128" customWidth="1"/>
    <col min="10501" max="10501" width="8.42578125" style="128" customWidth="1"/>
    <col min="10502" max="10502" width="9" style="128" customWidth="1"/>
    <col min="10503" max="10503" width="8" style="128" customWidth="1"/>
    <col min="10504" max="10509" width="0" style="128" hidden="1" customWidth="1"/>
    <col min="10510" max="10510" width="11.28515625" style="128" customWidth="1"/>
    <col min="10511" max="10752" width="12.28515625" style="128"/>
    <col min="10753" max="10753" width="53.85546875" style="128" customWidth="1"/>
    <col min="10754" max="10754" width="7.7109375" style="128" bestFit="1" customWidth="1"/>
    <col min="10755" max="10755" width="7.7109375" style="128" customWidth="1"/>
    <col min="10756" max="10756" width="8.28515625" style="128" customWidth="1"/>
    <col min="10757" max="10757" width="8.42578125" style="128" customWidth="1"/>
    <col min="10758" max="10758" width="9" style="128" customWidth="1"/>
    <col min="10759" max="10759" width="8" style="128" customWidth="1"/>
    <col min="10760" max="10765" width="0" style="128" hidden="1" customWidth="1"/>
    <col min="10766" max="10766" width="11.28515625" style="128" customWidth="1"/>
    <col min="10767" max="11008" width="12.28515625" style="128"/>
    <col min="11009" max="11009" width="53.85546875" style="128" customWidth="1"/>
    <col min="11010" max="11010" width="7.7109375" style="128" bestFit="1" customWidth="1"/>
    <col min="11011" max="11011" width="7.7109375" style="128" customWidth="1"/>
    <col min="11012" max="11012" width="8.28515625" style="128" customWidth="1"/>
    <col min="11013" max="11013" width="8.42578125" style="128" customWidth="1"/>
    <col min="11014" max="11014" width="9" style="128" customWidth="1"/>
    <col min="11015" max="11015" width="8" style="128" customWidth="1"/>
    <col min="11016" max="11021" width="0" style="128" hidden="1" customWidth="1"/>
    <col min="11022" max="11022" width="11.28515625" style="128" customWidth="1"/>
    <col min="11023" max="11264" width="12.28515625" style="128"/>
    <col min="11265" max="11265" width="53.85546875" style="128" customWidth="1"/>
    <col min="11266" max="11266" width="7.7109375" style="128" bestFit="1" customWidth="1"/>
    <col min="11267" max="11267" width="7.7109375" style="128" customWidth="1"/>
    <col min="11268" max="11268" width="8.28515625" style="128" customWidth="1"/>
    <col min="11269" max="11269" width="8.42578125" style="128" customWidth="1"/>
    <col min="11270" max="11270" width="9" style="128" customWidth="1"/>
    <col min="11271" max="11271" width="8" style="128" customWidth="1"/>
    <col min="11272" max="11277" width="0" style="128" hidden="1" customWidth="1"/>
    <col min="11278" max="11278" width="11.28515625" style="128" customWidth="1"/>
    <col min="11279" max="11520" width="12.28515625" style="128"/>
    <col min="11521" max="11521" width="53.85546875" style="128" customWidth="1"/>
    <col min="11522" max="11522" width="7.7109375" style="128" bestFit="1" customWidth="1"/>
    <col min="11523" max="11523" width="7.7109375" style="128" customWidth="1"/>
    <col min="11524" max="11524" width="8.28515625" style="128" customWidth="1"/>
    <col min="11525" max="11525" width="8.42578125" style="128" customWidth="1"/>
    <col min="11526" max="11526" width="9" style="128" customWidth="1"/>
    <col min="11527" max="11527" width="8" style="128" customWidth="1"/>
    <col min="11528" max="11533" width="0" style="128" hidden="1" customWidth="1"/>
    <col min="11534" max="11534" width="11.28515625" style="128" customWidth="1"/>
    <col min="11535" max="11776" width="12.28515625" style="128"/>
    <col min="11777" max="11777" width="53.85546875" style="128" customWidth="1"/>
    <col min="11778" max="11778" width="7.7109375" style="128" bestFit="1" customWidth="1"/>
    <col min="11779" max="11779" width="7.7109375" style="128" customWidth="1"/>
    <col min="11780" max="11780" width="8.28515625" style="128" customWidth="1"/>
    <col min="11781" max="11781" width="8.42578125" style="128" customWidth="1"/>
    <col min="11782" max="11782" width="9" style="128" customWidth="1"/>
    <col min="11783" max="11783" width="8" style="128" customWidth="1"/>
    <col min="11784" max="11789" width="0" style="128" hidden="1" customWidth="1"/>
    <col min="11790" max="11790" width="11.28515625" style="128" customWidth="1"/>
    <col min="11791" max="12032" width="12.28515625" style="128"/>
    <col min="12033" max="12033" width="53.85546875" style="128" customWidth="1"/>
    <col min="12034" max="12034" width="7.7109375" style="128" bestFit="1" customWidth="1"/>
    <col min="12035" max="12035" width="7.7109375" style="128" customWidth="1"/>
    <col min="12036" max="12036" width="8.28515625" style="128" customWidth="1"/>
    <col min="12037" max="12037" width="8.42578125" style="128" customWidth="1"/>
    <col min="12038" max="12038" width="9" style="128" customWidth="1"/>
    <col min="12039" max="12039" width="8" style="128" customWidth="1"/>
    <col min="12040" max="12045" width="0" style="128" hidden="1" customWidth="1"/>
    <col min="12046" max="12046" width="11.28515625" style="128" customWidth="1"/>
    <col min="12047" max="12288" width="12.28515625" style="128"/>
    <col min="12289" max="12289" width="53.85546875" style="128" customWidth="1"/>
    <col min="12290" max="12290" width="7.7109375" style="128" bestFit="1" customWidth="1"/>
    <col min="12291" max="12291" width="7.7109375" style="128" customWidth="1"/>
    <col min="12292" max="12292" width="8.28515625" style="128" customWidth="1"/>
    <col min="12293" max="12293" width="8.42578125" style="128" customWidth="1"/>
    <col min="12294" max="12294" width="9" style="128" customWidth="1"/>
    <col min="12295" max="12295" width="8" style="128" customWidth="1"/>
    <col min="12296" max="12301" width="0" style="128" hidden="1" customWidth="1"/>
    <col min="12302" max="12302" width="11.28515625" style="128" customWidth="1"/>
    <col min="12303" max="12544" width="12.28515625" style="128"/>
    <col min="12545" max="12545" width="53.85546875" style="128" customWidth="1"/>
    <col min="12546" max="12546" width="7.7109375" style="128" bestFit="1" customWidth="1"/>
    <col min="12547" max="12547" width="7.7109375" style="128" customWidth="1"/>
    <col min="12548" max="12548" width="8.28515625" style="128" customWidth="1"/>
    <col min="12549" max="12549" width="8.42578125" style="128" customWidth="1"/>
    <col min="12550" max="12550" width="9" style="128" customWidth="1"/>
    <col min="12551" max="12551" width="8" style="128" customWidth="1"/>
    <col min="12552" max="12557" width="0" style="128" hidden="1" customWidth="1"/>
    <col min="12558" max="12558" width="11.28515625" style="128" customWidth="1"/>
    <col min="12559" max="12800" width="12.28515625" style="128"/>
    <col min="12801" max="12801" width="53.85546875" style="128" customWidth="1"/>
    <col min="12802" max="12802" width="7.7109375" style="128" bestFit="1" customWidth="1"/>
    <col min="12803" max="12803" width="7.7109375" style="128" customWidth="1"/>
    <col min="12804" max="12804" width="8.28515625" style="128" customWidth="1"/>
    <col min="12805" max="12805" width="8.42578125" style="128" customWidth="1"/>
    <col min="12806" max="12806" width="9" style="128" customWidth="1"/>
    <col min="12807" max="12807" width="8" style="128" customWidth="1"/>
    <col min="12808" max="12813" width="0" style="128" hidden="1" customWidth="1"/>
    <col min="12814" max="12814" width="11.28515625" style="128" customWidth="1"/>
    <col min="12815" max="13056" width="12.28515625" style="128"/>
    <col min="13057" max="13057" width="53.85546875" style="128" customWidth="1"/>
    <col min="13058" max="13058" width="7.7109375" style="128" bestFit="1" customWidth="1"/>
    <col min="13059" max="13059" width="7.7109375" style="128" customWidth="1"/>
    <col min="13060" max="13060" width="8.28515625" style="128" customWidth="1"/>
    <col min="13061" max="13061" width="8.42578125" style="128" customWidth="1"/>
    <col min="13062" max="13062" width="9" style="128" customWidth="1"/>
    <col min="13063" max="13063" width="8" style="128" customWidth="1"/>
    <col min="13064" max="13069" width="0" style="128" hidden="1" customWidth="1"/>
    <col min="13070" max="13070" width="11.28515625" style="128" customWidth="1"/>
    <col min="13071" max="13312" width="12.28515625" style="128"/>
    <col min="13313" max="13313" width="53.85546875" style="128" customWidth="1"/>
    <col min="13314" max="13314" width="7.7109375" style="128" bestFit="1" customWidth="1"/>
    <col min="13315" max="13315" width="7.7109375" style="128" customWidth="1"/>
    <col min="13316" max="13316" width="8.28515625" style="128" customWidth="1"/>
    <col min="13317" max="13317" width="8.42578125" style="128" customWidth="1"/>
    <col min="13318" max="13318" width="9" style="128" customWidth="1"/>
    <col min="13319" max="13319" width="8" style="128" customWidth="1"/>
    <col min="13320" max="13325" width="0" style="128" hidden="1" customWidth="1"/>
    <col min="13326" max="13326" width="11.28515625" style="128" customWidth="1"/>
    <col min="13327" max="13568" width="12.28515625" style="128"/>
    <col min="13569" max="13569" width="53.85546875" style="128" customWidth="1"/>
    <col min="13570" max="13570" width="7.7109375" style="128" bestFit="1" customWidth="1"/>
    <col min="13571" max="13571" width="7.7109375" style="128" customWidth="1"/>
    <col min="13572" max="13572" width="8.28515625" style="128" customWidth="1"/>
    <col min="13573" max="13573" width="8.42578125" style="128" customWidth="1"/>
    <col min="13574" max="13574" width="9" style="128" customWidth="1"/>
    <col min="13575" max="13575" width="8" style="128" customWidth="1"/>
    <col min="13576" max="13581" width="0" style="128" hidden="1" customWidth="1"/>
    <col min="13582" max="13582" width="11.28515625" style="128" customWidth="1"/>
    <col min="13583" max="13824" width="12.28515625" style="128"/>
    <col min="13825" max="13825" width="53.85546875" style="128" customWidth="1"/>
    <col min="13826" max="13826" width="7.7109375" style="128" bestFit="1" customWidth="1"/>
    <col min="13827" max="13827" width="7.7109375" style="128" customWidth="1"/>
    <col min="13828" max="13828" width="8.28515625" style="128" customWidth="1"/>
    <col min="13829" max="13829" width="8.42578125" style="128" customWidth="1"/>
    <col min="13830" max="13830" width="9" style="128" customWidth="1"/>
    <col min="13831" max="13831" width="8" style="128" customWidth="1"/>
    <col min="13832" max="13837" width="0" style="128" hidden="1" customWidth="1"/>
    <col min="13838" max="13838" width="11.28515625" style="128" customWidth="1"/>
    <col min="13839" max="14080" width="12.28515625" style="128"/>
    <col min="14081" max="14081" width="53.85546875" style="128" customWidth="1"/>
    <col min="14082" max="14082" width="7.7109375" style="128" bestFit="1" customWidth="1"/>
    <col min="14083" max="14083" width="7.7109375" style="128" customWidth="1"/>
    <col min="14084" max="14084" width="8.28515625" style="128" customWidth="1"/>
    <col min="14085" max="14085" width="8.42578125" style="128" customWidth="1"/>
    <col min="14086" max="14086" width="9" style="128" customWidth="1"/>
    <col min="14087" max="14087" width="8" style="128" customWidth="1"/>
    <col min="14088" max="14093" width="0" style="128" hidden="1" customWidth="1"/>
    <col min="14094" max="14094" width="11.28515625" style="128" customWidth="1"/>
    <col min="14095" max="14336" width="12.28515625" style="128"/>
    <col min="14337" max="14337" width="53.85546875" style="128" customWidth="1"/>
    <col min="14338" max="14338" width="7.7109375" style="128" bestFit="1" customWidth="1"/>
    <col min="14339" max="14339" width="7.7109375" style="128" customWidth="1"/>
    <col min="14340" max="14340" width="8.28515625" style="128" customWidth="1"/>
    <col min="14341" max="14341" width="8.42578125" style="128" customWidth="1"/>
    <col min="14342" max="14342" width="9" style="128" customWidth="1"/>
    <col min="14343" max="14343" width="8" style="128" customWidth="1"/>
    <col min="14344" max="14349" width="0" style="128" hidden="1" customWidth="1"/>
    <col min="14350" max="14350" width="11.28515625" style="128" customWidth="1"/>
    <col min="14351" max="14592" width="12.28515625" style="128"/>
    <col min="14593" max="14593" width="53.85546875" style="128" customWidth="1"/>
    <col min="14594" max="14594" width="7.7109375" style="128" bestFit="1" customWidth="1"/>
    <col min="14595" max="14595" width="7.7109375" style="128" customWidth="1"/>
    <col min="14596" max="14596" width="8.28515625" style="128" customWidth="1"/>
    <col min="14597" max="14597" width="8.42578125" style="128" customWidth="1"/>
    <col min="14598" max="14598" width="9" style="128" customWidth="1"/>
    <col min="14599" max="14599" width="8" style="128" customWidth="1"/>
    <col min="14600" max="14605" width="0" style="128" hidden="1" customWidth="1"/>
    <col min="14606" max="14606" width="11.28515625" style="128" customWidth="1"/>
    <col min="14607" max="14848" width="12.28515625" style="128"/>
    <col min="14849" max="14849" width="53.85546875" style="128" customWidth="1"/>
    <col min="14850" max="14850" width="7.7109375" style="128" bestFit="1" customWidth="1"/>
    <col min="14851" max="14851" width="7.7109375" style="128" customWidth="1"/>
    <col min="14852" max="14852" width="8.28515625" style="128" customWidth="1"/>
    <col min="14853" max="14853" width="8.42578125" style="128" customWidth="1"/>
    <col min="14854" max="14854" width="9" style="128" customWidth="1"/>
    <col min="14855" max="14855" width="8" style="128" customWidth="1"/>
    <col min="14856" max="14861" width="0" style="128" hidden="1" customWidth="1"/>
    <col min="14862" max="14862" width="11.28515625" style="128" customWidth="1"/>
    <col min="14863" max="15104" width="12.28515625" style="128"/>
    <col min="15105" max="15105" width="53.85546875" style="128" customWidth="1"/>
    <col min="15106" max="15106" width="7.7109375" style="128" bestFit="1" customWidth="1"/>
    <col min="15107" max="15107" width="7.7109375" style="128" customWidth="1"/>
    <col min="15108" max="15108" width="8.28515625" style="128" customWidth="1"/>
    <col min="15109" max="15109" width="8.42578125" style="128" customWidth="1"/>
    <col min="15110" max="15110" width="9" style="128" customWidth="1"/>
    <col min="15111" max="15111" width="8" style="128" customWidth="1"/>
    <col min="15112" max="15117" width="0" style="128" hidden="1" customWidth="1"/>
    <col min="15118" max="15118" width="11.28515625" style="128" customWidth="1"/>
    <col min="15119" max="15360" width="12.28515625" style="128"/>
    <col min="15361" max="15361" width="53.85546875" style="128" customWidth="1"/>
    <col min="15362" max="15362" width="7.7109375" style="128" bestFit="1" customWidth="1"/>
    <col min="15363" max="15363" width="7.7109375" style="128" customWidth="1"/>
    <col min="15364" max="15364" width="8.28515625" style="128" customWidth="1"/>
    <col min="15365" max="15365" width="8.42578125" style="128" customWidth="1"/>
    <col min="15366" max="15366" width="9" style="128" customWidth="1"/>
    <col min="15367" max="15367" width="8" style="128" customWidth="1"/>
    <col min="15368" max="15373" width="0" style="128" hidden="1" customWidth="1"/>
    <col min="15374" max="15374" width="11.28515625" style="128" customWidth="1"/>
    <col min="15375" max="15616" width="12.28515625" style="128"/>
    <col min="15617" max="15617" width="53.85546875" style="128" customWidth="1"/>
    <col min="15618" max="15618" width="7.7109375" style="128" bestFit="1" customWidth="1"/>
    <col min="15619" max="15619" width="7.7109375" style="128" customWidth="1"/>
    <col min="15620" max="15620" width="8.28515625" style="128" customWidth="1"/>
    <col min="15621" max="15621" width="8.42578125" style="128" customWidth="1"/>
    <col min="15622" max="15622" width="9" style="128" customWidth="1"/>
    <col min="15623" max="15623" width="8" style="128" customWidth="1"/>
    <col min="15624" max="15629" width="0" style="128" hidden="1" customWidth="1"/>
    <col min="15630" max="15630" width="11.28515625" style="128" customWidth="1"/>
    <col min="15631" max="15872" width="12.28515625" style="128"/>
    <col min="15873" max="15873" width="53.85546875" style="128" customWidth="1"/>
    <col min="15874" max="15874" width="7.7109375" style="128" bestFit="1" customWidth="1"/>
    <col min="15875" max="15875" width="7.7109375" style="128" customWidth="1"/>
    <col min="15876" max="15876" width="8.28515625" style="128" customWidth="1"/>
    <col min="15877" max="15877" width="8.42578125" style="128" customWidth="1"/>
    <col min="15878" max="15878" width="9" style="128" customWidth="1"/>
    <col min="15879" max="15879" width="8" style="128" customWidth="1"/>
    <col min="15880" max="15885" width="0" style="128" hidden="1" customWidth="1"/>
    <col min="15886" max="15886" width="11.28515625" style="128" customWidth="1"/>
    <col min="15887" max="16128" width="12.28515625" style="128"/>
    <col min="16129" max="16129" width="53.85546875" style="128" customWidth="1"/>
    <col min="16130" max="16130" width="7.7109375" style="128" bestFit="1" customWidth="1"/>
    <col min="16131" max="16131" width="7.7109375" style="128" customWidth="1"/>
    <col min="16132" max="16132" width="8.28515625" style="128" customWidth="1"/>
    <col min="16133" max="16133" width="8.42578125" style="128" customWidth="1"/>
    <col min="16134" max="16134" width="9" style="128" customWidth="1"/>
    <col min="16135" max="16135" width="8" style="128" customWidth="1"/>
    <col min="16136" max="16141" width="0" style="128" hidden="1" customWidth="1"/>
    <col min="16142" max="16142" width="11.28515625" style="128" customWidth="1"/>
    <col min="16143" max="16384" width="12.28515625" style="128"/>
  </cols>
  <sheetData>
    <row r="1" spans="1:246" ht="15.75">
      <c r="A1" s="124"/>
      <c r="B1" s="124"/>
      <c r="C1" s="176"/>
      <c r="D1" s="124"/>
      <c r="E1" s="124"/>
      <c r="F1" s="124"/>
      <c r="G1" s="124"/>
      <c r="H1" s="124"/>
      <c r="I1" s="124"/>
      <c r="N1" s="124"/>
      <c r="P1" s="233" t="s">
        <v>271</v>
      </c>
    </row>
    <row r="2" spans="1:246" ht="15.75" customHeight="1">
      <c r="A2" s="244" t="s">
        <v>191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</row>
    <row r="3" spans="1:246" ht="18.75" customHeight="1">
      <c r="A3" s="245" t="s">
        <v>192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</row>
    <row r="4" spans="1:246" ht="8.1" customHeight="1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246" ht="18.75" customHeight="1">
      <c r="A5" s="244" t="s">
        <v>193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</row>
    <row r="6" spans="1:246" ht="18.75">
      <c r="A6" s="244" t="s">
        <v>194</v>
      </c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2"/>
      <c r="CS6" s="132"/>
      <c r="CT6" s="132"/>
      <c r="CU6" s="132"/>
      <c r="CV6" s="132"/>
      <c r="CW6" s="132"/>
      <c r="CX6" s="132"/>
      <c r="CY6" s="132"/>
      <c r="CZ6" s="132"/>
      <c r="DA6" s="132"/>
      <c r="DB6" s="132"/>
      <c r="DC6" s="132"/>
      <c r="DD6" s="132"/>
      <c r="DE6" s="132"/>
      <c r="DF6" s="132"/>
      <c r="DG6" s="132"/>
      <c r="DH6" s="132"/>
      <c r="DI6" s="132"/>
      <c r="DJ6" s="132"/>
      <c r="DK6" s="132"/>
      <c r="DL6" s="132"/>
      <c r="DM6" s="132"/>
      <c r="DN6" s="132"/>
      <c r="DO6" s="132"/>
      <c r="DP6" s="132"/>
      <c r="DQ6" s="132"/>
      <c r="DR6" s="132"/>
      <c r="DS6" s="132"/>
      <c r="DT6" s="132"/>
      <c r="DU6" s="132"/>
      <c r="DV6" s="132"/>
      <c r="DW6" s="132"/>
      <c r="DX6" s="132"/>
      <c r="DY6" s="132"/>
      <c r="DZ6" s="132"/>
      <c r="EA6" s="132"/>
      <c r="EB6" s="132"/>
      <c r="EC6" s="132"/>
      <c r="ED6" s="132"/>
      <c r="EE6" s="132"/>
      <c r="EF6" s="132"/>
      <c r="EG6" s="132"/>
      <c r="EH6" s="132"/>
      <c r="EI6" s="132"/>
      <c r="EJ6" s="132"/>
      <c r="EK6" s="132"/>
      <c r="EL6" s="132"/>
      <c r="EM6" s="132"/>
      <c r="EN6" s="132"/>
      <c r="EO6" s="132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32"/>
      <c r="FA6" s="132"/>
      <c r="FB6" s="132"/>
      <c r="FC6" s="132"/>
      <c r="FD6" s="132"/>
      <c r="FE6" s="132"/>
      <c r="FF6" s="132"/>
      <c r="FG6" s="132"/>
      <c r="FH6" s="132"/>
      <c r="FI6" s="132"/>
      <c r="FJ6" s="132"/>
      <c r="FK6" s="132"/>
      <c r="FL6" s="132"/>
      <c r="FM6" s="132"/>
      <c r="FN6" s="132"/>
      <c r="FO6" s="132"/>
      <c r="FP6" s="132"/>
      <c r="FQ6" s="132"/>
      <c r="FR6" s="132"/>
      <c r="FS6" s="132"/>
      <c r="FT6" s="132"/>
      <c r="FU6" s="132"/>
      <c r="FV6" s="132"/>
      <c r="FW6" s="132"/>
      <c r="FX6" s="132"/>
      <c r="FY6" s="132"/>
      <c r="FZ6" s="132"/>
      <c r="GA6" s="132"/>
      <c r="GB6" s="132"/>
      <c r="GC6" s="132"/>
      <c r="GD6" s="132"/>
      <c r="GE6" s="132"/>
      <c r="GF6" s="132"/>
      <c r="GG6" s="132"/>
      <c r="GH6" s="132"/>
      <c r="GI6" s="132"/>
      <c r="GJ6" s="132"/>
      <c r="GK6" s="132"/>
      <c r="GL6" s="132"/>
      <c r="GM6" s="132"/>
      <c r="GN6" s="132"/>
      <c r="GO6" s="132"/>
      <c r="GP6" s="132"/>
      <c r="GQ6" s="132"/>
      <c r="GR6" s="132"/>
      <c r="GS6" s="132"/>
      <c r="GT6" s="132"/>
      <c r="GU6" s="132"/>
      <c r="GV6" s="132"/>
      <c r="GW6" s="132"/>
      <c r="GX6" s="132"/>
      <c r="GY6" s="132"/>
      <c r="GZ6" s="132"/>
      <c r="HA6" s="132"/>
      <c r="HB6" s="132"/>
      <c r="HC6" s="132"/>
      <c r="HD6" s="132"/>
      <c r="HE6" s="132"/>
      <c r="HF6" s="132"/>
      <c r="HG6" s="132"/>
      <c r="HH6" s="132"/>
      <c r="HI6" s="132"/>
      <c r="HJ6" s="132"/>
      <c r="HK6" s="132"/>
      <c r="HL6" s="132"/>
      <c r="HM6" s="132"/>
      <c r="HN6" s="132"/>
      <c r="HO6" s="132"/>
      <c r="HP6" s="132"/>
      <c r="HQ6" s="132"/>
      <c r="HR6" s="132"/>
      <c r="HS6" s="132"/>
      <c r="HT6" s="132"/>
      <c r="HU6" s="132"/>
      <c r="HV6" s="132"/>
      <c r="HW6" s="132"/>
      <c r="HX6" s="132"/>
      <c r="HY6" s="132"/>
      <c r="HZ6" s="132"/>
      <c r="IA6" s="132"/>
      <c r="IB6" s="132"/>
      <c r="IC6" s="132"/>
      <c r="ID6" s="132"/>
      <c r="IE6" s="132"/>
      <c r="IF6" s="132"/>
      <c r="IG6" s="132"/>
      <c r="IH6" s="132"/>
      <c r="II6" s="132"/>
      <c r="IJ6" s="132"/>
      <c r="IK6" s="132"/>
      <c r="IL6" s="132"/>
    </row>
    <row r="7" spans="1:246" ht="6" customHeight="1" thickBot="1">
      <c r="A7" s="133"/>
      <c r="B7" s="133"/>
      <c r="C7" s="133"/>
      <c r="D7" s="133"/>
      <c r="E7" s="133"/>
      <c r="G7" s="133"/>
      <c r="H7" s="133"/>
      <c r="N7" s="133"/>
    </row>
    <row r="8" spans="1:246" s="19" customFormat="1" ht="16.5" customHeight="1">
      <c r="A8" s="246" t="s">
        <v>195</v>
      </c>
      <c r="B8" s="242" t="s">
        <v>214</v>
      </c>
      <c r="C8" s="242" t="s">
        <v>215</v>
      </c>
      <c r="D8" s="242" t="s">
        <v>216</v>
      </c>
      <c r="E8" s="242" t="s">
        <v>217</v>
      </c>
      <c r="F8" s="242" t="s">
        <v>218</v>
      </c>
      <c r="G8" s="242" t="s">
        <v>219</v>
      </c>
      <c r="H8" s="242" t="s">
        <v>220</v>
      </c>
      <c r="I8" s="242" t="s">
        <v>221</v>
      </c>
      <c r="J8" s="242" t="s">
        <v>222</v>
      </c>
      <c r="K8" s="242" t="s">
        <v>223</v>
      </c>
      <c r="L8" s="242" t="s">
        <v>224</v>
      </c>
      <c r="M8" s="242" t="s">
        <v>225</v>
      </c>
      <c r="N8" s="242" t="s">
        <v>226</v>
      </c>
    </row>
    <row r="9" spans="1:246" s="19" customFormat="1" ht="23.25" customHeight="1" thickBot="1">
      <c r="A9" s="247"/>
      <c r="B9" s="243"/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</row>
    <row r="10" spans="1:246" s="26" customFormat="1" ht="12.75">
      <c r="A10" s="24" t="s">
        <v>48</v>
      </c>
      <c r="B10" s="140">
        <f>IF($A10="","",'Situfin serie mensual'!GX2)</f>
        <v>2524.8434527580002</v>
      </c>
      <c r="C10" s="140">
        <f>IF($A10="","",'Situfin serie mensual'!GY2)</f>
        <v>2807.4076824540002</v>
      </c>
      <c r="D10" s="140">
        <f>IF($A10="","",'Situfin serie mensual'!GZ2)</f>
        <v>2723.141181985</v>
      </c>
      <c r="E10" s="140">
        <f>IF($A10="","",'Situfin serie mensual'!HA2)</f>
        <v>1667.9836523859999</v>
      </c>
      <c r="F10" s="140">
        <f>IF($A10="","",'Situfin serie mensual'!HB2)</f>
        <v>2052.2931209390003</v>
      </c>
      <c r="G10" s="140">
        <f>IF($A10="","",'Situfin serie mensual'!HC2)</f>
        <v>2584.3721989320002</v>
      </c>
      <c r="H10" s="140">
        <f>IF($A10="","",'Situfin serie mensual'!HD2)</f>
        <v>2819.5321466220003</v>
      </c>
      <c r="I10" s="140">
        <f>IF($A10="","",'Situfin serie mensual'!HE2)</f>
        <v>2896.0443505349999</v>
      </c>
      <c r="J10" s="140">
        <f>IF($A10="","",'Situfin serie mensual'!HF2)</f>
        <v>0</v>
      </c>
      <c r="K10" s="140">
        <f>IF($A10="","",'Situfin serie mensual'!HG2)</f>
        <v>0</v>
      </c>
      <c r="L10" s="140">
        <f>IF($A10="","",'Situfin serie mensual'!HH2)</f>
        <v>0</v>
      </c>
      <c r="M10" s="140">
        <f>IF($A10="","",'Situfin serie mensual'!HI2)</f>
        <v>0</v>
      </c>
      <c r="N10" s="140">
        <f>+SUM(B10:M10)</f>
        <v>20075.617786611001</v>
      </c>
    </row>
    <row r="11" spans="1:246" s="26" customFormat="1" ht="6.75" customHeight="1">
      <c r="A11" s="24"/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</row>
    <row r="12" spans="1:246" s="26" customFormat="1" outlineLevel="1">
      <c r="A12" s="26" t="s">
        <v>227</v>
      </c>
      <c r="B12" s="140">
        <f>IF($A12="","",'Situfin serie mensual'!GX4)</f>
        <v>1987.3436059480002</v>
      </c>
      <c r="C12" s="140">
        <f>IF($A12="","",'Situfin serie mensual'!GY4)</f>
        <v>1689.8486228659999</v>
      </c>
      <c r="D12" s="140">
        <f>IF($A12="","",'Situfin serie mensual'!GZ4)</f>
        <v>1670.3117746889998</v>
      </c>
      <c r="E12" s="140">
        <f>IF($A12="","",'Situfin serie mensual'!HA4)</f>
        <v>1075.7768779329999</v>
      </c>
      <c r="F12" s="140">
        <f>IF($A12="","",'Situfin serie mensual'!HB4)</f>
        <v>1448.0158133360003</v>
      </c>
      <c r="G12" s="140">
        <f>IF($A12="","",'Situfin serie mensual'!HC4)</f>
        <v>1794.1035551259999</v>
      </c>
      <c r="H12" s="140">
        <f>IF($A12="","",'Situfin serie mensual'!HD4)</f>
        <v>2124.0135847320003</v>
      </c>
      <c r="I12" s="140">
        <f>IF($A12="","",'Situfin serie mensual'!HE4)</f>
        <v>1917.4523367229999</v>
      </c>
      <c r="J12" s="140">
        <f>IF($A12="","",'Situfin serie mensual'!HF4)</f>
        <v>0</v>
      </c>
      <c r="K12" s="140">
        <f>IF($A12="","",'Situfin serie mensual'!HG4)</f>
        <v>0</v>
      </c>
      <c r="L12" s="140">
        <f>IF($A12="","",'Situfin serie mensual'!HH4)</f>
        <v>0</v>
      </c>
      <c r="M12" s="140">
        <f>IF($A12="","",'Situfin serie mensual'!HI4)</f>
        <v>0</v>
      </c>
      <c r="N12" s="140">
        <f>+SUM(B12:M12)</f>
        <v>13706.866171352998</v>
      </c>
      <c r="O12" s="179"/>
      <c r="P12" s="179"/>
      <c r="Q12" s="141"/>
    </row>
    <row r="13" spans="1:246" s="143" customFormat="1" ht="6" customHeight="1">
      <c r="A13" s="29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26"/>
      <c r="P13" s="26"/>
    </row>
    <row r="14" spans="1:246" s="32" customFormat="1" ht="12.75" outlineLevel="2">
      <c r="A14" s="26" t="s">
        <v>57</v>
      </c>
      <c r="B14" s="140">
        <f>IF($A14="","",'Situfin serie mensual'!GX13)</f>
        <v>152.482808861</v>
      </c>
      <c r="C14" s="140">
        <f>IF($A14="","",'Situfin serie mensual'!GY13)</f>
        <v>509.97408698000004</v>
      </c>
      <c r="D14" s="140">
        <f>IF($A14="","",'Situfin serie mensual'!GZ13)</f>
        <v>96.061613197</v>
      </c>
      <c r="E14" s="140">
        <f>IF($A14="","",'Situfin serie mensual'!HA13)</f>
        <v>156.87712756500002</v>
      </c>
      <c r="F14" s="140">
        <f>IF($A14="","",'Situfin serie mensual'!HB13)</f>
        <v>173.622812759</v>
      </c>
      <c r="G14" s="140">
        <f>IF($A14="","",'Situfin serie mensual'!HC13)</f>
        <v>278.65239932100002</v>
      </c>
      <c r="H14" s="140">
        <f>IF($A14="","",'Situfin serie mensual'!HD13)</f>
        <v>172.59751948600001</v>
      </c>
      <c r="I14" s="140">
        <f>IF($A14="","",'Situfin serie mensual'!HE13)</f>
        <v>184.74180488099998</v>
      </c>
      <c r="J14" s="140">
        <f>IF($A14="","",'Situfin serie mensual'!HF13)</f>
        <v>0</v>
      </c>
      <c r="K14" s="140">
        <f>IF($A14="","",'Situfin serie mensual'!HG13)</f>
        <v>0</v>
      </c>
      <c r="L14" s="140">
        <f>IF($A14="","",'Situfin serie mensual'!HH13)</f>
        <v>0</v>
      </c>
      <c r="M14" s="140">
        <f>IF($A14="","",'Situfin serie mensual'!HI13)</f>
        <v>0</v>
      </c>
      <c r="N14" s="140">
        <f>+SUM(B14:M14)</f>
        <v>1725.01017305</v>
      </c>
      <c r="P14" s="26"/>
    </row>
    <row r="15" spans="1:246" s="143" customFormat="1" ht="8.25" customHeight="1">
      <c r="A15" s="29"/>
      <c r="B15" s="142" t="str">
        <f>IF($A15="","",'Situfin serie mensual'!GX14)</f>
        <v/>
      </c>
      <c r="C15" s="142" t="str">
        <f>IF($A15="","",'Situfin serie mensual'!GY14)</f>
        <v/>
      </c>
      <c r="D15" s="142" t="str">
        <f>IF($A15="","",'Situfin serie mensual'!GZ14)</f>
        <v/>
      </c>
      <c r="E15" s="142" t="str">
        <f>IF($A15="","",'Situfin serie mensual'!HA14)</f>
        <v/>
      </c>
      <c r="F15" s="142" t="str">
        <f>IF($A15="","",'Situfin serie mensual'!HB14)</f>
        <v/>
      </c>
      <c r="G15" s="142" t="str">
        <f>IF($A15="","",'Situfin serie mensual'!HC14)</f>
        <v/>
      </c>
      <c r="H15" s="142" t="str">
        <f>IF($A15="","",'Situfin serie mensual'!HD14)</f>
        <v/>
      </c>
      <c r="I15" s="142" t="str">
        <f>IF($A15="","",'Situfin serie mensual'!HE14)</f>
        <v/>
      </c>
      <c r="J15" s="142" t="str">
        <f>IF($A15="","",'Situfin serie mensual'!HF14)</f>
        <v/>
      </c>
      <c r="K15" s="142" t="str">
        <f>IF($A15="","",'Situfin serie mensual'!HG14)</f>
        <v/>
      </c>
      <c r="L15" s="142" t="str">
        <f>IF($A15="","",'Situfin serie mensual'!HH14)</f>
        <v/>
      </c>
      <c r="M15" s="142" t="str">
        <f>IF($A15="","",'Situfin serie mensual'!HI14)</f>
        <v/>
      </c>
      <c r="N15" s="142"/>
      <c r="P15" s="26"/>
    </row>
    <row r="16" spans="1:246" s="32" customFormat="1" ht="12.75" outlineLevel="2">
      <c r="A16" s="26" t="s">
        <v>10</v>
      </c>
      <c r="B16" s="140">
        <f>IF($A16="","",'Situfin serie mensual'!GX15)</f>
        <v>68.606051839000003</v>
      </c>
      <c r="C16" s="140">
        <f>IF($A16="","",'Situfin serie mensual'!GY15)</f>
        <v>118.68321391800001</v>
      </c>
      <c r="D16" s="140">
        <f>IF($A16="","",'Situfin serie mensual'!GZ15)</f>
        <v>121.384719627</v>
      </c>
      <c r="E16" s="140">
        <f>IF($A16="","",'Situfin serie mensual'!HA15)</f>
        <v>84.725666997999994</v>
      </c>
      <c r="F16" s="140">
        <f>IF($A16="","",'Situfin serie mensual'!HB15)</f>
        <v>81.076717403000004</v>
      </c>
      <c r="G16" s="140">
        <f>IF($A16="","",'Situfin serie mensual'!HC15)</f>
        <v>108.961174433</v>
      </c>
      <c r="H16" s="140">
        <f>IF($A16="","",'Situfin serie mensual'!HD15)</f>
        <v>79.057577239000011</v>
      </c>
      <c r="I16" s="140">
        <f>IF($A16="","",'Situfin serie mensual'!HE15)</f>
        <v>88.219147158000013</v>
      </c>
      <c r="J16" s="140">
        <f>IF($A16="","",'Situfin serie mensual'!HF15)</f>
        <v>0</v>
      </c>
      <c r="K16" s="140">
        <f>IF($A16="","",'Situfin serie mensual'!HG15)</f>
        <v>0</v>
      </c>
      <c r="L16" s="140">
        <f>IF($A16="","",'Situfin serie mensual'!HH15)</f>
        <v>0</v>
      </c>
      <c r="M16" s="140">
        <f>IF($A16="","",'Situfin serie mensual'!HI15)</f>
        <v>0</v>
      </c>
      <c r="N16" s="140">
        <f t="shared" ref="N16:N33" si="0">+SUM(B16:M16)</f>
        <v>750.71426861500004</v>
      </c>
      <c r="P16" s="26"/>
    </row>
    <row r="17" spans="1:16" s="143" customFormat="1" ht="12.75" hidden="1" customHeight="1">
      <c r="A17" s="29" t="s">
        <v>201</v>
      </c>
      <c r="B17" s="142">
        <f>IF($A17="","",'Situfin serie mensual'!GX16)</f>
        <v>1.2959559999999999</v>
      </c>
      <c r="C17" s="142">
        <f>IF($A17="","",'Situfin serie mensual'!GY16)</f>
        <v>18.272828000000001</v>
      </c>
      <c r="D17" s="142">
        <f>IF($A17="","",'Situfin serie mensual'!GZ16)</f>
        <v>3.8269555199999998</v>
      </c>
      <c r="E17" s="142">
        <f>IF($A17="","",'Situfin serie mensual'!HA16)</f>
        <v>3.2502249999999999</v>
      </c>
      <c r="F17" s="142">
        <f>IF($A17="","",'Situfin serie mensual'!HB16)</f>
        <v>0</v>
      </c>
      <c r="G17" s="142">
        <f>IF($A17="","",'Situfin serie mensual'!HC16)</f>
        <v>38.316631209999997</v>
      </c>
      <c r="H17" s="142">
        <f>IF($A17="","",'Situfin serie mensual'!HD16)</f>
        <v>0</v>
      </c>
      <c r="I17" s="142">
        <f>IF($A17="","",'Situfin serie mensual'!HE16)</f>
        <v>0</v>
      </c>
      <c r="J17" s="142">
        <f>IF($A17="","",'Situfin serie mensual'!HF16)</f>
        <v>0</v>
      </c>
      <c r="K17" s="142">
        <f>IF($A17="","",'Situfin serie mensual'!HG16)</f>
        <v>0</v>
      </c>
      <c r="L17" s="142">
        <f>IF($A17="","",'Situfin serie mensual'!HH16)</f>
        <v>0</v>
      </c>
      <c r="M17" s="142">
        <f>IF($A17="","",'Situfin serie mensual'!HI16)</f>
        <v>0</v>
      </c>
      <c r="N17" s="142">
        <f t="shared" si="0"/>
        <v>64.962595730000004</v>
      </c>
      <c r="P17" s="26"/>
    </row>
    <row r="18" spans="1:16" s="143" customFormat="1" ht="12.75" hidden="1" customHeight="1">
      <c r="A18" s="29" t="s">
        <v>202</v>
      </c>
      <c r="B18" s="142">
        <f>IF($A18="","",'Situfin serie mensual'!GX17)</f>
        <v>0</v>
      </c>
      <c r="C18" s="142">
        <f>IF($A18="","",'Situfin serie mensual'!GY17)</f>
        <v>0</v>
      </c>
      <c r="D18" s="142">
        <f>IF($A18="","",'Situfin serie mensual'!GZ17)</f>
        <v>0</v>
      </c>
      <c r="E18" s="142">
        <f>IF($A18="","",'Situfin serie mensual'!HA17)</f>
        <v>0</v>
      </c>
      <c r="F18" s="142">
        <f>IF($A18="","",'Situfin serie mensual'!HB17)</f>
        <v>0</v>
      </c>
      <c r="G18" s="142">
        <f>IF($A18="","",'Situfin serie mensual'!HC17)</f>
        <v>0</v>
      </c>
      <c r="H18" s="142">
        <f>IF($A18="","",'Situfin serie mensual'!HD17)</f>
        <v>0</v>
      </c>
      <c r="I18" s="142">
        <f>IF($A18="","",'Situfin serie mensual'!HE17)</f>
        <v>0</v>
      </c>
      <c r="J18" s="142">
        <f>IF($A18="","",'Situfin serie mensual'!HF17)</f>
        <v>0</v>
      </c>
      <c r="K18" s="142">
        <f>IF($A18="","",'Situfin serie mensual'!HG17)</f>
        <v>0</v>
      </c>
      <c r="L18" s="142">
        <f>IF($A18="","",'Situfin serie mensual'!HH17)</f>
        <v>0</v>
      </c>
      <c r="M18" s="142">
        <f>IF($A18="","",'Situfin serie mensual'!HI17)</f>
        <v>0</v>
      </c>
      <c r="N18" s="142">
        <f t="shared" si="0"/>
        <v>0</v>
      </c>
      <c r="P18" s="26"/>
    </row>
    <row r="19" spans="1:16" s="143" customFormat="1" ht="12.75" hidden="1" customHeight="1">
      <c r="A19" s="29" t="s">
        <v>203</v>
      </c>
      <c r="B19" s="142">
        <f>IF($A19="","",'Situfin serie mensual'!GX18)</f>
        <v>1.2959559999999999</v>
      </c>
      <c r="C19" s="142">
        <f>IF($A19="","",'Situfin serie mensual'!GY18)</f>
        <v>18.272828000000001</v>
      </c>
      <c r="D19" s="142">
        <f>IF($A19="","",'Situfin serie mensual'!GZ18)</f>
        <v>3.8269555199999998</v>
      </c>
      <c r="E19" s="142">
        <f>IF($A19="","",'Situfin serie mensual'!HA18)</f>
        <v>3.2502249999999999</v>
      </c>
      <c r="F19" s="142">
        <f>IF($A19="","",'Situfin serie mensual'!HB18)</f>
        <v>0</v>
      </c>
      <c r="G19" s="142">
        <f>IF($A19="","",'Situfin serie mensual'!HC18)</f>
        <v>38.316631209999997</v>
      </c>
      <c r="H19" s="142">
        <f>IF($A19="","",'Situfin serie mensual'!HD18)</f>
        <v>0</v>
      </c>
      <c r="I19" s="142">
        <f>IF($A19="","",'Situfin serie mensual'!HE18)</f>
        <v>0</v>
      </c>
      <c r="J19" s="142">
        <f>IF($A19="","",'Situfin serie mensual'!HF18)</f>
        <v>0</v>
      </c>
      <c r="K19" s="142">
        <f>IF($A19="","",'Situfin serie mensual'!HG18)</f>
        <v>0</v>
      </c>
      <c r="L19" s="142">
        <f>IF($A19="","",'Situfin serie mensual'!HH18)</f>
        <v>0</v>
      </c>
      <c r="M19" s="142">
        <f>IF($A19="","",'Situfin serie mensual'!HI18)</f>
        <v>0</v>
      </c>
      <c r="N19" s="142">
        <f t="shared" si="0"/>
        <v>64.962595730000004</v>
      </c>
      <c r="P19" s="26"/>
    </row>
    <row r="20" spans="1:16" s="143" customFormat="1" ht="12.75" hidden="1" customHeight="1">
      <c r="A20" s="29" t="s">
        <v>204</v>
      </c>
      <c r="B20" s="142">
        <f>IF($A20="","",'Situfin serie mensual'!GX19)</f>
        <v>9.2660607060000011</v>
      </c>
      <c r="C20" s="142">
        <f>IF($A20="","",'Situfin serie mensual'!GY19)</f>
        <v>0</v>
      </c>
      <c r="D20" s="142">
        <f>IF($A20="","",'Situfin serie mensual'!GZ19)</f>
        <v>0</v>
      </c>
      <c r="E20" s="142">
        <f>IF($A20="","",'Situfin serie mensual'!HA19)</f>
        <v>3.4009976000000002</v>
      </c>
      <c r="F20" s="142">
        <f>IF($A20="","",'Situfin serie mensual'!HB19)</f>
        <v>0</v>
      </c>
      <c r="G20" s="142">
        <f>IF($A20="","",'Situfin serie mensual'!HC19)</f>
        <v>2.2638182809999998</v>
      </c>
      <c r="H20" s="142">
        <f>IF($A20="","",'Situfin serie mensual'!HD19)</f>
        <v>0</v>
      </c>
      <c r="I20" s="142">
        <f>IF($A20="","",'Situfin serie mensual'!HE19)</f>
        <v>0</v>
      </c>
      <c r="J20" s="142">
        <f>IF($A20="","",'Situfin serie mensual'!HF19)</f>
        <v>0</v>
      </c>
      <c r="K20" s="142">
        <f>IF($A20="","",'Situfin serie mensual'!HG19)</f>
        <v>0</v>
      </c>
      <c r="L20" s="142">
        <f>IF($A20="","",'Situfin serie mensual'!HH19)</f>
        <v>0</v>
      </c>
      <c r="M20" s="142">
        <f>IF($A20="","",'Situfin serie mensual'!HI19)</f>
        <v>0</v>
      </c>
      <c r="N20" s="142">
        <f t="shared" si="0"/>
        <v>14.930876587</v>
      </c>
      <c r="P20" s="26"/>
    </row>
    <row r="21" spans="1:16" s="143" customFormat="1" ht="12.75" hidden="1" customHeight="1">
      <c r="A21" s="29" t="s">
        <v>202</v>
      </c>
      <c r="B21" s="142">
        <f>IF($A21="","",'Situfin serie mensual'!GX20)</f>
        <v>0</v>
      </c>
      <c r="C21" s="142">
        <f>IF($A21="","",'Situfin serie mensual'!GY20)</f>
        <v>0</v>
      </c>
      <c r="D21" s="142">
        <f>IF($A21="","",'Situfin serie mensual'!GZ20)</f>
        <v>0</v>
      </c>
      <c r="E21" s="142">
        <f>IF($A21="","",'Situfin serie mensual'!HA20)</f>
        <v>0</v>
      </c>
      <c r="F21" s="142">
        <f>IF($A21="","",'Situfin serie mensual'!HB20)</f>
        <v>0</v>
      </c>
      <c r="G21" s="142">
        <f>IF($A21="","",'Situfin serie mensual'!HC20)</f>
        <v>0</v>
      </c>
      <c r="H21" s="142">
        <f>IF($A21="","",'Situfin serie mensual'!HD20)</f>
        <v>0</v>
      </c>
      <c r="I21" s="142">
        <f>IF($A21="","",'Situfin serie mensual'!HE20)</f>
        <v>0</v>
      </c>
      <c r="J21" s="142">
        <f>IF($A21="","",'Situfin serie mensual'!HF20)</f>
        <v>0</v>
      </c>
      <c r="K21" s="142">
        <f>IF($A21="","",'Situfin serie mensual'!HG20)</f>
        <v>0</v>
      </c>
      <c r="L21" s="142">
        <f>IF($A21="","",'Situfin serie mensual'!HH20)</f>
        <v>0</v>
      </c>
      <c r="M21" s="142">
        <f>IF($A21="","",'Situfin serie mensual'!HI20)</f>
        <v>0</v>
      </c>
      <c r="N21" s="142">
        <f t="shared" si="0"/>
        <v>0</v>
      </c>
      <c r="P21" s="26"/>
    </row>
    <row r="22" spans="1:16" s="143" customFormat="1" ht="12.75" hidden="1" customHeight="1">
      <c r="A22" s="29" t="s">
        <v>203</v>
      </c>
      <c r="B22" s="142">
        <f>IF($A22="","",'Situfin serie mensual'!GX21)</f>
        <v>9.2660607060000011</v>
      </c>
      <c r="C22" s="142">
        <f>IF($A22="","",'Situfin serie mensual'!GY21)</f>
        <v>0</v>
      </c>
      <c r="D22" s="142">
        <f>IF($A22="","",'Situfin serie mensual'!GZ21)</f>
        <v>0</v>
      </c>
      <c r="E22" s="142">
        <f>IF($A22="","",'Situfin serie mensual'!HA21)</f>
        <v>3.4009976000000002</v>
      </c>
      <c r="F22" s="142">
        <f>IF($A22="","",'Situfin serie mensual'!HB21)</f>
        <v>0</v>
      </c>
      <c r="G22" s="142">
        <f>IF($A22="","",'Situfin serie mensual'!HC21)</f>
        <v>2.2638182809999998</v>
      </c>
      <c r="H22" s="142">
        <f>IF($A22="","",'Situfin serie mensual'!HD21)</f>
        <v>0</v>
      </c>
      <c r="I22" s="142">
        <f>IF($A22="","",'Situfin serie mensual'!HE21)</f>
        <v>0</v>
      </c>
      <c r="J22" s="142">
        <f>IF($A22="","",'Situfin serie mensual'!HF21)</f>
        <v>0</v>
      </c>
      <c r="K22" s="142">
        <f>IF($A22="","",'Situfin serie mensual'!HG21)</f>
        <v>0</v>
      </c>
      <c r="L22" s="142">
        <f>IF($A22="","",'Situfin serie mensual'!HH21)</f>
        <v>0</v>
      </c>
      <c r="M22" s="142">
        <f>IF($A22="","",'Situfin serie mensual'!HI21)</f>
        <v>0</v>
      </c>
      <c r="N22" s="142">
        <f t="shared" si="0"/>
        <v>14.930876587</v>
      </c>
      <c r="P22" s="26"/>
    </row>
    <row r="23" spans="1:16" s="143" customFormat="1" ht="12.75" hidden="1" customHeight="1">
      <c r="A23" s="29" t="s">
        <v>205</v>
      </c>
      <c r="B23" s="142">
        <f>IF($A23="","",'Situfin serie mensual'!GX22)</f>
        <v>58.044035133000008</v>
      </c>
      <c r="C23" s="142">
        <f>IF($A23="","",'Situfin serie mensual'!GY22)</f>
        <v>100.410385918</v>
      </c>
      <c r="D23" s="142">
        <f>IF($A23="","",'Situfin serie mensual'!GZ22)</f>
        <v>117.557764107</v>
      </c>
      <c r="E23" s="142">
        <f>IF($A23="","",'Situfin serie mensual'!HA22)</f>
        <v>78.074444397999997</v>
      </c>
      <c r="F23" s="142">
        <f>IF($A23="","",'Situfin serie mensual'!HB22)</f>
        <v>81.076717403000004</v>
      </c>
      <c r="G23" s="142">
        <f>IF($A23="","",'Situfin serie mensual'!HC22)</f>
        <v>68.380724942000001</v>
      </c>
      <c r="H23" s="142">
        <f>IF($A23="","",'Situfin serie mensual'!HD22)</f>
        <v>79.057577239000011</v>
      </c>
      <c r="I23" s="142">
        <f>IF($A23="","",'Situfin serie mensual'!HE22)</f>
        <v>88.219147158000013</v>
      </c>
      <c r="J23" s="142">
        <f>IF($A23="","",'Situfin serie mensual'!HF22)</f>
        <v>0</v>
      </c>
      <c r="K23" s="142">
        <f>IF($A23="","",'Situfin serie mensual'!HG22)</f>
        <v>0</v>
      </c>
      <c r="L23" s="142">
        <f>IF($A23="","",'Situfin serie mensual'!HH22)</f>
        <v>0</v>
      </c>
      <c r="M23" s="142">
        <f>IF($A23="","",'Situfin serie mensual'!HI22)</f>
        <v>0</v>
      </c>
      <c r="N23" s="142">
        <f t="shared" si="0"/>
        <v>670.820796298</v>
      </c>
      <c r="P23" s="26"/>
    </row>
    <row r="24" spans="1:16" s="143" customFormat="1" ht="12.75" hidden="1" customHeight="1">
      <c r="A24" s="29" t="s">
        <v>202</v>
      </c>
      <c r="B24" s="142">
        <f>IF($A24="","",'Situfin serie mensual'!GX23)</f>
        <v>58.044035133000008</v>
      </c>
      <c r="C24" s="142">
        <f>IF($A24="","",'Situfin serie mensual'!GY23)</f>
        <v>100.410385918</v>
      </c>
      <c r="D24" s="142">
        <f>IF($A24="","",'Situfin serie mensual'!GZ23)</f>
        <v>117.557764107</v>
      </c>
      <c r="E24" s="142">
        <f>IF($A24="","",'Situfin serie mensual'!HA23)</f>
        <v>78.074444397999997</v>
      </c>
      <c r="F24" s="142">
        <f>IF($A24="","",'Situfin serie mensual'!HB23)</f>
        <v>81.076717403000004</v>
      </c>
      <c r="G24" s="142">
        <f>IF($A24="","",'Situfin serie mensual'!HC23)</f>
        <v>68.380724942000001</v>
      </c>
      <c r="H24" s="142">
        <f>IF($A24="","",'Situfin serie mensual'!HD23)</f>
        <v>79.057577239000011</v>
      </c>
      <c r="I24" s="142">
        <f>IF($A24="","",'Situfin serie mensual'!HE23)</f>
        <v>88.219147158000013</v>
      </c>
      <c r="J24" s="142">
        <f>IF($A24="","",'Situfin serie mensual'!HF23)</f>
        <v>0</v>
      </c>
      <c r="K24" s="142">
        <f>IF($A24="","",'Situfin serie mensual'!HG23)</f>
        <v>0</v>
      </c>
      <c r="L24" s="142">
        <f>IF($A24="","",'Situfin serie mensual'!HH23)</f>
        <v>0</v>
      </c>
      <c r="M24" s="142">
        <f>IF($A24="","",'Situfin serie mensual'!HI23)</f>
        <v>0</v>
      </c>
      <c r="N24" s="142">
        <f t="shared" si="0"/>
        <v>670.820796298</v>
      </c>
      <c r="P24" s="26"/>
    </row>
    <row r="25" spans="1:16" s="143" customFormat="1" ht="12.75" hidden="1" customHeight="1">
      <c r="A25" s="29" t="s">
        <v>203</v>
      </c>
      <c r="B25" s="142">
        <f>IF($A25="","",'Situfin serie mensual'!GX24)</f>
        <v>0</v>
      </c>
      <c r="C25" s="142">
        <f>IF($A25="","",'Situfin serie mensual'!GY24)</f>
        <v>0</v>
      </c>
      <c r="D25" s="142">
        <f>IF($A25="","",'Situfin serie mensual'!GZ24)</f>
        <v>0</v>
      </c>
      <c r="E25" s="142">
        <f>IF($A25="","",'Situfin serie mensual'!HA24)</f>
        <v>0</v>
      </c>
      <c r="F25" s="142">
        <f>IF($A25="","",'Situfin serie mensual'!HB24)</f>
        <v>0</v>
      </c>
      <c r="G25" s="142">
        <f>IF($A25="","",'Situfin serie mensual'!HC24)</f>
        <v>0</v>
      </c>
      <c r="H25" s="142">
        <f>IF($A25="","",'Situfin serie mensual'!HD24)</f>
        <v>0</v>
      </c>
      <c r="I25" s="142">
        <f>IF($A25="","",'Situfin serie mensual'!HE24)</f>
        <v>0</v>
      </c>
      <c r="J25" s="142">
        <f>IF($A25="","",'Situfin serie mensual'!HF24)</f>
        <v>0</v>
      </c>
      <c r="K25" s="142">
        <f>IF($A25="","",'Situfin serie mensual'!HG24)</f>
        <v>0</v>
      </c>
      <c r="L25" s="142">
        <f>IF($A25="","",'Situfin serie mensual'!HH24)</f>
        <v>0</v>
      </c>
      <c r="M25" s="142">
        <f>IF($A25="","",'Situfin serie mensual'!HI24)</f>
        <v>0</v>
      </c>
      <c r="N25" s="142">
        <f t="shared" si="0"/>
        <v>0</v>
      </c>
      <c r="P25" s="26"/>
    </row>
    <row r="26" spans="1:16" s="32" customFormat="1" ht="12.75" outlineLevel="2">
      <c r="A26" s="26" t="s">
        <v>63</v>
      </c>
      <c r="B26" s="140">
        <f>IF($A26="","",'Situfin serie mensual'!GX25)</f>
        <v>316.41098610999995</v>
      </c>
      <c r="C26" s="140">
        <f>IF($A26="","",'Situfin serie mensual'!GY25)</f>
        <v>488.90175869000001</v>
      </c>
      <c r="D26" s="140">
        <f>IF($A26="","",'Situfin serie mensual'!GZ25)</f>
        <v>835.38307447199998</v>
      </c>
      <c r="E26" s="140">
        <f>IF($A26="","",'Situfin serie mensual'!HA25)</f>
        <v>350.60397989000001</v>
      </c>
      <c r="F26" s="140">
        <f>IF($A26="","",'Situfin serie mensual'!HB25)</f>
        <v>349.57777744100002</v>
      </c>
      <c r="G26" s="140">
        <f>IF($A26="","",'Situfin serie mensual'!HC25)</f>
        <v>402.65507005199999</v>
      </c>
      <c r="H26" s="140">
        <f>IF($A26="","",'Situfin serie mensual'!HD25)</f>
        <v>443.86346516499998</v>
      </c>
      <c r="I26" s="140">
        <f>IF($A26="","",'Situfin serie mensual'!HE25)</f>
        <v>705.63106177300006</v>
      </c>
      <c r="J26" s="140">
        <f>IF($A26="","",'Situfin serie mensual'!HF25)</f>
        <v>0</v>
      </c>
      <c r="K26" s="140">
        <f>IF($A26="","",'Situfin serie mensual'!HG25)</f>
        <v>0</v>
      </c>
      <c r="L26" s="140">
        <f>IF($A26="","",'Situfin serie mensual'!HH25)</f>
        <v>0</v>
      </c>
      <c r="M26" s="140">
        <f>IF($A26="","",'Situfin serie mensual'!HI25)</f>
        <v>0</v>
      </c>
      <c r="N26" s="140">
        <f t="shared" si="0"/>
        <v>3893.027173593</v>
      </c>
      <c r="O26" s="26"/>
      <c r="P26" s="26"/>
    </row>
    <row r="27" spans="1:16" s="143" customFormat="1" ht="12.75">
      <c r="A27" s="29" t="s">
        <v>64</v>
      </c>
      <c r="B27" s="142">
        <f>IF($A27="","",'Situfin serie mensual'!GX26)</f>
        <v>71.910029921999993</v>
      </c>
      <c r="C27" s="142">
        <f>IF($A27="","",'Situfin serie mensual'!GY26)</f>
        <v>211.75734237399999</v>
      </c>
      <c r="D27" s="142">
        <f>IF($A27="","",'Situfin serie mensual'!GZ26)</f>
        <v>141.51895014899998</v>
      </c>
      <c r="E27" s="142">
        <f>IF($A27="","",'Situfin serie mensual'!HA26)</f>
        <v>185.22076246699999</v>
      </c>
      <c r="F27" s="142">
        <f>IF($A27="","",'Situfin serie mensual'!HB26)</f>
        <v>162.16807489400003</v>
      </c>
      <c r="G27" s="142">
        <f>IF($A27="","",'Situfin serie mensual'!HC26)</f>
        <v>143.33269580799998</v>
      </c>
      <c r="H27" s="142">
        <f>IF($A27="","",'Situfin serie mensual'!HD26)</f>
        <v>188.90670220499999</v>
      </c>
      <c r="I27" s="142">
        <f>IF($A27="","",'Situfin serie mensual'!HE26)</f>
        <v>351.35477883499999</v>
      </c>
      <c r="J27" s="142">
        <f>IF($A27="","",'Situfin serie mensual'!HF26)</f>
        <v>0</v>
      </c>
      <c r="K27" s="142">
        <f>IF($A27="","",'Situfin serie mensual'!HG26)</f>
        <v>0</v>
      </c>
      <c r="L27" s="142">
        <f>IF($A27="","",'Situfin serie mensual'!HH26)</f>
        <v>0</v>
      </c>
      <c r="M27" s="142">
        <f>IF($A27="","",'Situfin serie mensual'!HI26)</f>
        <v>0</v>
      </c>
      <c r="N27" s="142">
        <f t="shared" si="0"/>
        <v>1456.1693366540001</v>
      </c>
      <c r="O27" s="26"/>
      <c r="P27" s="26"/>
    </row>
    <row r="28" spans="1:16" s="143" customFormat="1" ht="14.25" hidden="1" customHeight="1">
      <c r="A28" s="29" t="s">
        <v>206</v>
      </c>
      <c r="B28" s="142">
        <f>IF($A28="","",'Situfin serie mensual'!GX27)</f>
        <v>0</v>
      </c>
      <c r="C28" s="142">
        <f>IF($A28="","",'Situfin serie mensual'!GY27)</f>
        <v>205.627462165</v>
      </c>
      <c r="D28" s="142">
        <f>IF($A28="","",'Situfin serie mensual'!GZ27)</f>
        <v>66.817831102999989</v>
      </c>
      <c r="E28" s="142">
        <f>IF($A28="","",'Situfin serie mensual'!HA27)</f>
        <v>126.417132869</v>
      </c>
      <c r="F28" s="142">
        <f>IF($A28="","",'Situfin serie mensual'!HB27)</f>
        <v>123.86751915000001</v>
      </c>
      <c r="G28" s="142">
        <f>IF($A28="","",'Situfin serie mensual'!HC27)</f>
        <v>111.405913461</v>
      </c>
      <c r="H28" s="142">
        <f>IF($A28="","",'Situfin serie mensual'!HD27)</f>
        <v>121.45884095300001</v>
      </c>
      <c r="I28" s="142">
        <f>IF($A28="","",'Situfin serie mensual'!HE27)</f>
        <v>278.74570850000003</v>
      </c>
      <c r="J28" s="142">
        <f>IF($A28="","",'Situfin serie mensual'!HF27)</f>
        <v>0</v>
      </c>
      <c r="K28" s="142">
        <f>IF($A28="","",'Situfin serie mensual'!HG27)</f>
        <v>0</v>
      </c>
      <c r="L28" s="142">
        <f>IF($A28="","",'Situfin serie mensual'!HH27)</f>
        <v>0</v>
      </c>
      <c r="M28" s="142">
        <f>IF($A28="","",'Situfin serie mensual'!HI27)</f>
        <v>0</v>
      </c>
      <c r="N28" s="142">
        <f t="shared" si="0"/>
        <v>1034.3404082009999</v>
      </c>
      <c r="O28" s="26"/>
      <c r="P28" s="26"/>
    </row>
    <row r="29" spans="1:16" s="143" customFormat="1" ht="14.25" hidden="1" customHeight="1">
      <c r="A29" s="35" t="s">
        <v>207</v>
      </c>
      <c r="B29" s="142">
        <f>IF($A29="","",'Situfin serie mensual'!GX28)</f>
        <v>71.910029922000007</v>
      </c>
      <c r="C29" s="142">
        <f>IF($A29="","",'Situfin serie mensual'!GY28)</f>
        <v>6.1298802089999951</v>
      </c>
      <c r="D29" s="142">
        <f>IF($A29="","",'Situfin serie mensual'!GZ28)</f>
        <v>74.701119045999988</v>
      </c>
      <c r="E29" s="142">
        <f>IF($A29="","",'Situfin serie mensual'!HA28)</f>
        <v>58.803629598000001</v>
      </c>
      <c r="F29" s="142">
        <f>IF($A29="","",'Situfin serie mensual'!HB28)</f>
        <v>38.300555744000015</v>
      </c>
      <c r="G29" s="142">
        <f>IF($A29="","",'Situfin serie mensual'!HC28)</f>
        <v>31.926782346999985</v>
      </c>
      <c r="H29" s="142">
        <f>IF($A29="","",'Situfin serie mensual'!HD28)</f>
        <v>67.447861251999996</v>
      </c>
      <c r="I29" s="142">
        <f>IF($A29="","",'Situfin serie mensual'!HE28)</f>
        <v>72.609070334999998</v>
      </c>
      <c r="J29" s="142">
        <f>IF($A29="","",'Situfin serie mensual'!HF28)</f>
        <v>0</v>
      </c>
      <c r="K29" s="142">
        <f>IF($A29="","",'Situfin serie mensual'!HG28)</f>
        <v>0</v>
      </c>
      <c r="L29" s="142">
        <f>IF($A29="","",'Situfin serie mensual'!HH28)</f>
        <v>0</v>
      </c>
      <c r="M29" s="142">
        <f>IF($A29="","",'Situfin serie mensual'!HI28)</f>
        <v>0</v>
      </c>
      <c r="N29" s="142">
        <f t="shared" si="0"/>
        <v>421.82892845299995</v>
      </c>
      <c r="O29" s="26"/>
      <c r="P29" s="26"/>
    </row>
    <row r="30" spans="1:16" s="143" customFormat="1" ht="12.75">
      <c r="A30" s="29" t="s">
        <v>67</v>
      </c>
      <c r="B30" s="142">
        <f>IF($A30="","",'Situfin serie mensual'!GX29)</f>
        <v>238.56075348799999</v>
      </c>
      <c r="C30" s="142">
        <f>IF($A30="","",'Situfin serie mensual'!GY29)</f>
        <v>266.793355453</v>
      </c>
      <c r="D30" s="142">
        <f>IF($A30="","",'Situfin serie mensual'!GZ29)</f>
        <v>163.76800329799997</v>
      </c>
      <c r="E30" s="142">
        <f>IF($A30="","",'Situfin serie mensual'!HA29)</f>
        <v>133.57240525100002</v>
      </c>
      <c r="F30" s="142">
        <f>IF($A30="","",'Situfin serie mensual'!HB29)</f>
        <v>148.55740385600001</v>
      </c>
      <c r="G30" s="142">
        <f>IF($A30="","",'Situfin serie mensual'!HC29)</f>
        <v>208.05895531399997</v>
      </c>
      <c r="H30" s="142">
        <f>IF($A30="","",'Situfin serie mensual'!HD29)</f>
        <v>192.14873074100004</v>
      </c>
      <c r="I30" s="142">
        <f>IF($A30="","",'Situfin serie mensual'!HE29)</f>
        <v>329.25909410000003</v>
      </c>
      <c r="J30" s="142">
        <f>IF($A30="","",'Situfin serie mensual'!HF29)</f>
        <v>0</v>
      </c>
      <c r="K30" s="142">
        <f>IF($A30="","",'Situfin serie mensual'!HG29)</f>
        <v>0</v>
      </c>
      <c r="L30" s="142">
        <f>IF($A30="","",'Situfin serie mensual'!HH29)</f>
        <v>0</v>
      </c>
      <c r="M30" s="142">
        <f>IF($A30="","",'Situfin serie mensual'!HI29)</f>
        <v>0</v>
      </c>
      <c r="N30" s="142">
        <f t="shared" si="0"/>
        <v>1680.7187015010002</v>
      </c>
      <c r="O30" s="26"/>
      <c r="P30" s="26"/>
    </row>
    <row r="31" spans="1:16" s="143" customFormat="1" ht="14.25" hidden="1" customHeight="1">
      <c r="A31" s="29" t="s">
        <v>228</v>
      </c>
      <c r="B31" s="142">
        <f>IF($A31="","",'Situfin serie mensual'!GX30)</f>
        <v>133.66387306199999</v>
      </c>
      <c r="C31" s="142">
        <f>IF($A31="","",'Situfin serie mensual'!GY30)</f>
        <v>156.944410347</v>
      </c>
      <c r="D31" s="142">
        <f>IF($A31="","",'Situfin serie mensual'!GZ30)</f>
        <v>76.656736678999991</v>
      </c>
      <c r="E31" s="142">
        <f>IF($A31="","",'Situfin serie mensual'!HA30)</f>
        <v>99.617723335000008</v>
      </c>
      <c r="F31" s="142">
        <f>IF($A31="","",'Situfin serie mensual'!HB30)</f>
        <v>99.983757565000005</v>
      </c>
      <c r="G31" s="142">
        <f>IF($A31="","",'Situfin serie mensual'!HC30)</f>
        <v>116.22580768899999</v>
      </c>
      <c r="H31" s="142">
        <f>IF($A31="","",'Situfin serie mensual'!HD30)</f>
        <v>105.783963324</v>
      </c>
      <c r="I31" s="142">
        <f>IF($A31="","",'Situfin serie mensual'!HE30)</f>
        <v>257.034220065</v>
      </c>
      <c r="J31" s="142">
        <f>IF($A31="","",'Situfin serie mensual'!HF30)</f>
        <v>0</v>
      </c>
      <c r="K31" s="142">
        <f>IF($A31="","",'Situfin serie mensual'!HG30)</f>
        <v>0</v>
      </c>
      <c r="L31" s="142">
        <f>IF($A31="","",'Situfin serie mensual'!HH30)</f>
        <v>0</v>
      </c>
      <c r="M31" s="142">
        <f>IF($A31="","",'Situfin serie mensual'!HI30)</f>
        <v>0</v>
      </c>
      <c r="N31" s="142">
        <f t="shared" si="0"/>
        <v>1045.910492066</v>
      </c>
      <c r="O31" s="26"/>
      <c r="P31" s="26"/>
    </row>
    <row r="32" spans="1:16" s="143" customFormat="1" ht="14.25" hidden="1" customHeight="1">
      <c r="A32" s="35" t="s">
        <v>69</v>
      </c>
      <c r="B32" s="142">
        <f>IF($A32="","",'Situfin serie mensual'!GX31)</f>
        <v>104.896880426</v>
      </c>
      <c r="C32" s="142">
        <f>IF($A32="","",'Situfin serie mensual'!GY31)</f>
        <v>109.848945106</v>
      </c>
      <c r="D32" s="142">
        <f>IF($A32="","",'Situfin serie mensual'!GZ31)</f>
        <v>87.111266619000006</v>
      </c>
      <c r="E32" s="142">
        <f>IF($A32="","",'Situfin serie mensual'!HA31)</f>
        <v>33.954681915999991</v>
      </c>
      <c r="F32" s="142">
        <f>IF($A32="","",'Situfin serie mensual'!HB31)</f>
        <v>48.573646290999996</v>
      </c>
      <c r="G32" s="142">
        <f>IF($A32="","",'Situfin serie mensual'!HC31)</f>
        <v>91.833147625000009</v>
      </c>
      <c r="H32" s="142">
        <f>IF($A32="","",'Situfin serie mensual'!HD31)</f>
        <v>86.36476741700001</v>
      </c>
      <c r="I32" s="142">
        <f>IF($A32="","",'Situfin serie mensual'!HE31)</f>
        <v>72.224874034999999</v>
      </c>
      <c r="J32" s="142">
        <f>IF($A32="","",'Situfin serie mensual'!HF31)</f>
        <v>0</v>
      </c>
      <c r="K32" s="142">
        <f>IF($A32="","",'Situfin serie mensual'!HG31)</f>
        <v>0</v>
      </c>
      <c r="L32" s="142">
        <f>IF($A32="","",'Situfin serie mensual'!HH31)</f>
        <v>0</v>
      </c>
      <c r="M32" s="142">
        <f>IF($A32="","",'Situfin serie mensual'!HI31)</f>
        <v>0</v>
      </c>
      <c r="N32" s="142">
        <f t="shared" si="0"/>
        <v>634.80820943499998</v>
      </c>
      <c r="O32" s="26"/>
      <c r="P32" s="26"/>
    </row>
    <row r="33" spans="1:18" s="143" customFormat="1" ht="12.75">
      <c r="A33" s="29" t="s">
        <v>63</v>
      </c>
      <c r="B33" s="142">
        <f>IF($A33="","",'Situfin serie mensual'!GX32)</f>
        <v>5.9402027000000004</v>
      </c>
      <c r="C33" s="142">
        <f>IF($A33="","",'Situfin serie mensual'!GY32)</f>
        <v>10.351060863000001</v>
      </c>
      <c r="D33" s="142">
        <f>IF($A33="","",'Situfin serie mensual'!GZ32)</f>
        <v>530.096121025</v>
      </c>
      <c r="E33" s="142">
        <f>IF($A33="","",'Situfin serie mensual'!HA32)</f>
        <v>31.810812172000006</v>
      </c>
      <c r="F33" s="142">
        <f>IF($A33="","",'Situfin serie mensual'!HB32)</f>
        <v>38.852298690999994</v>
      </c>
      <c r="G33" s="142">
        <f>IF($A33="","",'Situfin serie mensual'!HC32)</f>
        <v>51.26341893</v>
      </c>
      <c r="H33" s="142">
        <f>IF($A33="","",'Situfin serie mensual'!HD32)</f>
        <v>62.808032218999998</v>
      </c>
      <c r="I33" s="142">
        <f>IF($A33="","",'Situfin serie mensual'!HE32)</f>
        <v>25.017188837999999</v>
      </c>
      <c r="J33" s="142">
        <f>IF($A33="","",'Situfin serie mensual'!HF32)</f>
        <v>0</v>
      </c>
      <c r="K33" s="142">
        <f>IF($A33="","",'Situfin serie mensual'!HG32)</f>
        <v>0</v>
      </c>
      <c r="L33" s="142">
        <f>IF($A33="","",'Situfin serie mensual'!HH32)</f>
        <v>0</v>
      </c>
      <c r="M33" s="142">
        <f>IF($A33="","",'Situfin serie mensual'!HI32)</f>
        <v>0</v>
      </c>
      <c r="N33" s="142">
        <f t="shared" si="0"/>
        <v>756.13913543800015</v>
      </c>
      <c r="O33" s="26"/>
      <c r="P33" s="26"/>
    </row>
    <row r="34" spans="1:18" s="143" customFormat="1" ht="8.25" customHeight="1">
      <c r="A34" s="29"/>
      <c r="B34" s="142" t="str">
        <f>IF($A34="","",'Situfin serie mensual'!GX33)</f>
        <v/>
      </c>
      <c r="C34" s="142" t="str">
        <f>IF($A34="","",'Situfin serie mensual'!GY33)</f>
        <v/>
      </c>
      <c r="D34" s="142" t="str">
        <f>IF($A34="","",'Situfin serie mensual'!GZ33)</f>
        <v/>
      </c>
      <c r="E34" s="142" t="str">
        <f>IF($A34="","",'Situfin serie mensual'!HA33)</f>
        <v/>
      </c>
      <c r="F34" s="142" t="str">
        <f>IF($A34="","",'Situfin serie mensual'!HB33)</f>
        <v/>
      </c>
      <c r="G34" s="142" t="str">
        <f>IF($A34="","",'Situfin serie mensual'!HC33)</f>
        <v/>
      </c>
      <c r="H34" s="142" t="str">
        <f>IF($A34="","",'Situfin serie mensual'!HD33)</f>
        <v/>
      </c>
      <c r="I34" s="142" t="str">
        <f>IF($A34="","",'Situfin serie mensual'!HE33)</f>
        <v/>
      </c>
      <c r="J34" s="142" t="str">
        <f>IF($A34="","",'Situfin serie mensual'!HF33)</f>
        <v/>
      </c>
      <c r="K34" s="142" t="str">
        <f>IF($A34="","",'Situfin serie mensual'!HG33)</f>
        <v/>
      </c>
      <c r="L34" s="142" t="str">
        <f>IF($A34="","",'Situfin serie mensual'!HH33)</f>
        <v/>
      </c>
      <c r="M34" s="142" t="str">
        <f>IF($A34="","",'Situfin serie mensual'!HI33)</f>
        <v/>
      </c>
      <c r="N34" s="142"/>
      <c r="O34" s="26"/>
      <c r="P34" s="26"/>
    </row>
    <row r="35" spans="1:18" s="26" customFormat="1" ht="12.75">
      <c r="A35" s="137" t="s">
        <v>70</v>
      </c>
      <c r="B35" s="146">
        <f>IF($A35="","",'Situfin serie mensual'!GX34)</f>
        <v>2401.9889045110003</v>
      </c>
      <c r="C35" s="146">
        <f>IF($A35="","",'Situfin serie mensual'!GY34)</f>
        <v>2714.0074014949996</v>
      </c>
      <c r="D35" s="146">
        <f>IF($A35="","",'Situfin serie mensual'!GZ34)</f>
        <v>3219.5600083220002</v>
      </c>
      <c r="E35" s="146">
        <f>IF($A35="","",'Situfin serie mensual'!HA34)</f>
        <v>3402.4649257950005</v>
      </c>
      <c r="F35" s="146">
        <f>IF($A35="","",'Situfin serie mensual'!HB34)</f>
        <v>2716.8508902850003</v>
      </c>
      <c r="G35" s="146">
        <f>IF($A35="","",'Situfin serie mensual'!HC34)</f>
        <v>2799.1066348439995</v>
      </c>
      <c r="H35" s="146">
        <f>IF($A35="","",'Situfin serie mensual'!HD34)</f>
        <v>3101.2859436559997</v>
      </c>
      <c r="I35" s="146">
        <f>IF($A35="","",'Situfin serie mensual'!HE34)</f>
        <v>3171.1031797069995</v>
      </c>
      <c r="J35" s="146">
        <f>IF($A35="","",'Situfin serie mensual'!HF34)</f>
        <v>0</v>
      </c>
      <c r="K35" s="146">
        <f>IF($A35="","",'Situfin serie mensual'!HG34)</f>
        <v>0</v>
      </c>
      <c r="L35" s="146">
        <f>IF($A35="","",'Situfin serie mensual'!HH34)</f>
        <v>0</v>
      </c>
      <c r="M35" s="146">
        <f>IF($A35="","",'Situfin serie mensual'!HI34)</f>
        <v>0</v>
      </c>
      <c r="N35" s="146">
        <f t="shared" ref="N35:N70" si="1">+SUM(B35:M35)</f>
        <v>23526.367888614997</v>
      </c>
    </row>
    <row r="36" spans="1:18" s="143" customFormat="1" ht="12.75">
      <c r="A36" s="70" t="s">
        <v>71</v>
      </c>
      <c r="B36" s="142">
        <f>IF($A36="","",'Situfin serie mensual'!GX35)</f>
        <v>1256.0337295929999</v>
      </c>
      <c r="C36" s="142">
        <f>IF($A36="","",'Situfin serie mensual'!GY35)</f>
        <v>1319.5625471020001</v>
      </c>
      <c r="D36" s="142">
        <f>IF($A36="","",'Situfin serie mensual'!GZ35)</f>
        <v>1361.988430805</v>
      </c>
      <c r="E36" s="142">
        <f>IF($A36="","",'Situfin serie mensual'!HA35)</f>
        <v>1307.8856560160004</v>
      </c>
      <c r="F36" s="142">
        <f>IF($A36="","",'Situfin serie mensual'!HB35)</f>
        <v>1303.6119200159999</v>
      </c>
      <c r="G36" s="142">
        <f>IF($A36="","",'Situfin serie mensual'!HC35)</f>
        <v>1338.9477476619998</v>
      </c>
      <c r="H36" s="142">
        <f>IF($A36="","",'Situfin serie mensual'!HD35)</f>
        <v>1465.7746304910002</v>
      </c>
      <c r="I36" s="142">
        <f>IF($A36="","",'Situfin serie mensual'!HE35)</f>
        <v>1359.5473150699995</v>
      </c>
      <c r="J36" s="142">
        <f>IF($A36="","",'Situfin serie mensual'!HF35)</f>
        <v>0</v>
      </c>
      <c r="K36" s="142">
        <f>IF($A36="","",'Situfin serie mensual'!HG35)</f>
        <v>0</v>
      </c>
      <c r="L36" s="142">
        <f>IF($A36="","",'Situfin serie mensual'!HH35)</f>
        <v>0</v>
      </c>
      <c r="M36" s="142">
        <f>IF($A36="","",'Situfin serie mensual'!HI35)</f>
        <v>0</v>
      </c>
      <c r="N36" s="147">
        <f t="shared" si="1"/>
        <v>10713.351976755001</v>
      </c>
      <c r="O36" s="26"/>
      <c r="P36" s="26"/>
    </row>
    <row r="37" spans="1:18" s="143" customFormat="1" ht="12.75">
      <c r="A37" s="29" t="s">
        <v>72</v>
      </c>
      <c r="B37" s="142">
        <f>IF($A37="","",'Situfin serie mensual'!GX36)</f>
        <v>166.35886689699998</v>
      </c>
      <c r="C37" s="142">
        <f>IF($A37="","",'Situfin serie mensual'!GY36)</f>
        <v>254.88371343099999</v>
      </c>
      <c r="D37" s="142">
        <f>IF($A37="","",'Situfin serie mensual'!GZ36)</f>
        <v>436.858880231</v>
      </c>
      <c r="E37" s="142">
        <f>IF($A37="","",'Situfin serie mensual'!HA36)</f>
        <v>270.42160370300002</v>
      </c>
      <c r="F37" s="142">
        <f>IF($A37="","",'Situfin serie mensual'!HB36)</f>
        <v>206.04838341699997</v>
      </c>
      <c r="G37" s="142">
        <f>IF($A37="","",'Situfin serie mensual'!HC36)</f>
        <v>289.121567793</v>
      </c>
      <c r="H37" s="142">
        <f>IF($A37="","",'Situfin serie mensual'!HD36)</f>
        <v>262.99611073599999</v>
      </c>
      <c r="I37" s="142">
        <f>IF($A37="","",'Situfin serie mensual'!HE36)</f>
        <v>240.38513293000003</v>
      </c>
      <c r="J37" s="142">
        <f>IF($A37="","",'Situfin serie mensual'!HF36)</f>
        <v>0</v>
      </c>
      <c r="K37" s="142">
        <f>IF($A37="","",'Situfin serie mensual'!HG36)</f>
        <v>0</v>
      </c>
      <c r="L37" s="142">
        <f>IF($A37="","",'Situfin serie mensual'!HH36)</f>
        <v>0</v>
      </c>
      <c r="M37" s="142">
        <f>IF($A37="","",'Situfin serie mensual'!HI36)</f>
        <v>0</v>
      </c>
      <c r="N37" s="142">
        <f t="shared" si="1"/>
        <v>2127.0742591379999</v>
      </c>
      <c r="O37" s="26"/>
      <c r="P37" s="26"/>
    </row>
    <row r="38" spans="1:18" s="143" customFormat="1" ht="12.75" customHeight="1">
      <c r="A38" s="47" t="s">
        <v>73</v>
      </c>
      <c r="B38" s="142">
        <f>IF($A38="","",'Situfin serie mensual'!GX37)</f>
        <v>64.925502405999993</v>
      </c>
      <c r="C38" s="142">
        <f>IF($A38="","",'Situfin serie mensual'!GY37)</f>
        <v>116.87749467399999</v>
      </c>
      <c r="D38" s="142">
        <f>IF($A38="","",'Situfin serie mensual'!GZ37)</f>
        <v>134.11481932699999</v>
      </c>
      <c r="E38" s="142">
        <f>IF($A38="","",'Situfin serie mensual'!HA37)</f>
        <v>114.864557185</v>
      </c>
      <c r="F38" s="142">
        <f>IF($A38="","",'Situfin serie mensual'!HB37)</f>
        <v>106.129501683</v>
      </c>
      <c r="G38" s="142">
        <f>IF($A38="","",'Situfin serie mensual'!HC37)</f>
        <v>119.84267194600001</v>
      </c>
      <c r="H38" s="142">
        <f>IF($A38="","",'Situfin serie mensual'!HD37)</f>
        <v>113.317159749</v>
      </c>
      <c r="I38" s="142">
        <f>IF($A38="","",'Situfin serie mensual'!HE37)</f>
        <v>100.654232388</v>
      </c>
      <c r="J38" s="142">
        <f>IF($A38="","",'Situfin serie mensual'!HF37)</f>
        <v>0</v>
      </c>
      <c r="K38" s="142">
        <f>IF($A38="","",'Situfin serie mensual'!HG37)</f>
        <v>0</v>
      </c>
      <c r="L38" s="142">
        <f>IF($A38="","",'Situfin serie mensual'!HH37)</f>
        <v>0</v>
      </c>
      <c r="M38" s="142">
        <f>IF($A38="","",'Situfin serie mensual'!HI37)</f>
        <v>0</v>
      </c>
      <c r="N38" s="142">
        <f t="shared" si="1"/>
        <v>870.72593935800001</v>
      </c>
      <c r="O38" s="26"/>
      <c r="P38" s="26"/>
    </row>
    <row r="39" spans="1:18" s="143" customFormat="1" ht="12.75" customHeight="1">
      <c r="A39" s="47" t="s">
        <v>74</v>
      </c>
      <c r="B39" s="142">
        <f>IF($A39="","",'Situfin serie mensual'!GX38)</f>
        <v>101.43322746299999</v>
      </c>
      <c r="C39" s="142">
        <f>IF($A39="","",'Situfin serie mensual'!GY38)</f>
        <v>137.48066770299999</v>
      </c>
      <c r="D39" s="142">
        <f>IF($A39="","",'Situfin serie mensual'!GZ38)</f>
        <v>187.87776898799999</v>
      </c>
      <c r="E39" s="142">
        <f>IF($A39="","",'Situfin serie mensual'!HA38)</f>
        <v>154.39507392600001</v>
      </c>
      <c r="F39" s="142">
        <f>IF($A39="","",'Situfin serie mensual'!HB38)</f>
        <v>82.338585323000004</v>
      </c>
      <c r="G39" s="142">
        <f>IF($A39="","",'Situfin serie mensual'!HC38)</f>
        <v>168.785658896</v>
      </c>
      <c r="H39" s="142">
        <f>IF($A39="","",'Situfin serie mensual'!HD38)</f>
        <v>149.67774110400001</v>
      </c>
      <c r="I39" s="142">
        <f>IF($A39="","",'Situfin serie mensual'!HE38)</f>
        <v>139.38262050599999</v>
      </c>
      <c r="J39" s="142">
        <f>IF($A39="","",'Situfin serie mensual'!HF38)</f>
        <v>0</v>
      </c>
      <c r="K39" s="142">
        <f>IF($A39="","",'Situfin serie mensual'!HG38)</f>
        <v>0</v>
      </c>
      <c r="L39" s="142">
        <f>IF($A39="","",'Situfin serie mensual'!HH38)</f>
        <v>0</v>
      </c>
      <c r="M39" s="142">
        <f>IF($A39="","",'Situfin serie mensual'!HI38)</f>
        <v>0</v>
      </c>
      <c r="N39" s="142">
        <f t="shared" si="1"/>
        <v>1121.371343909</v>
      </c>
      <c r="O39" s="26"/>
      <c r="P39" s="26"/>
    </row>
    <row r="40" spans="1:18" s="143" customFormat="1" ht="12.75" customHeight="1">
      <c r="A40" s="47" t="s">
        <v>44</v>
      </c>
      <c r="B40" s="142">
        <f>IF($A40="","",'Situfin serie mensual'!GX39)</f>
        <v>1.37028E-4</v>
      </c>
      <c r="C40" s="142">
        <f>IF($A40="","",'Situfin serie mensual'!GY39)</f>
        <v>1.462533E-3</v>
      </c>
      <c r="D40" s="142">
        <f>IF($A40="","",'Situfin serie mensual'!GZ39)</f>
        <v>27.402715562000001</v>
      </c>
      <c r="E40" s="142">
        <f>IF($A40="","",'Situfin serie mensual'!HA39)</f>
        <v>1.1619725920000001</v>
      </c>
      <c r="F40" s="142">
        <f>IF($A40="","",'Situfin serie mensual'!HB39)</f>
        <v>17.580296411000003</v>
      </c>
      <c r="G40" s="142">
        <f>IF($A40="","",'Situfin serie mensual'!HC39)</f>
        <v>0.49323695099999998</v>
      </c>
      <c r="H40" s="142">
        <f>IF($A40="","",'Situfin serie mensual'!HD39)</f>
        <v>1.2098830000000001E-3</v>
      </c>
      <c r="I40" s="142">
        <f>IF($A40="","",'Situfin serie mensual'!HE39)</f>
        <v>0.34828003600000002</v>
      </c>
      <c r="J40" s="142">
        <f>IF($A40="","",'Situfin serie mensual'!HF39)</f>
        <v>0</v>
      </c>
      <c r="K40" s="142">
        <f>IF($A40="","",'Situfin serie mensual'!HG39)</f>
        <v>0</v>
      </c>
      <c r="L40" s="142">
        <f>IF($A40="","",'Situfin serie mensual'!HH39)</f>
        <v>0</v>
      </c>
      <c r="M40" s="142">
        <f>IF($A40="","",'Situfin serie mensual'!HI39)</f>
        <v>0</v>
      </c>
      <c r="N40" s="142">
        <f t="shared" si="1"/>
        <v>46.989310996000007</v>
      </c>
      <c r="O40" s="26"/>
      <c r="P40" s="26"/>
    </row>
    <row r="41" spans="1:18" s="143" customFormat="1" ht="12.75" customHeight="1">
      <c r="A41" s="47" t="s">
        <v>45</v>
      </c>
      <c r="B41" s="142">
        <f>IF($A41="","",'Situfin serie mensual'!GX40)</f>
        <v>0</v>
      </c>
      <c r="C41" s="142">
        <f>IF($A41="","",'Situfin serie mensual'!GY40)</f>
        <v>0.52408852099999781</v>
      </c>
      <c r="D41" s="142">
        <f>IF($A41="","",'Situfin serie mensual'!GZ40)</f>
        <v>87.463576354000026</v>
      </c>
      <c r="E41" s="142">
        <f>IF($A41="","",'Situfin serie mensual'!HA40)</f>
        <v>0</v>
      </c>
      <c r="F41" s="142">
        <f>IF($A41="","",'Situfin serie mensual'!HB40)</f>
        <v>0</v>
      </c>
      <c r="G41" s="142">
        <f>IF($A41="","",'Situfin serie mensual'!HC40)</f>
        <v>0</v>
      </c>
      <c r="H41" s="142">
        <f>IF($A41="","",'Situfin serie mensual'!HD40)</f>
        <v>0</v>
      </c>
      <c r="I41" s="142">
        <f>IF($A41="","",'Situfin serie mensual'!HE40)</f>
        <v>0</v>
      </c>
      <c r="J41" s="142">
        <f>IF($A41="","",'Situfin serie mensual'!HF40)</f>
        <v>0</v>
      </c>
      <c r="K41" s="142">
        <f>IF($A41="","",'Situfin serie mensual'!HG40)</f>
        <v>0</v>
      </c>
      <c r="L41" s="142">
        <f>IF($A41="","",'Situfin serie mensual'!HH40)</f>
        <v>0</v>
      </c>
      <c r="M41" s="142">
        <f>IF($A41="","",'Situfin serie mensual'!HI40)</f>
        <v>0</v>
      </c>
      <c r="N41" s="142">
        <f t="shared" si="1"/>
        <v>87.987664875000021</v>
      </c>
      <c r="O41" s="26"/>
      <c r="P41" s="26"/>
    </row>
    <row r="42" spans="1:18" s="143" customFormat="1" ht="12.75">
      <c r="A42" s="29" t="s">
        <v>37</v>
      </c>
      <c r="B42" s="142">
        <f>IF($A42="","",'Situfin serie mensual'!GX41)</f>
        <v>135.35211587500001</v>
      </c>
      <c r="C42" s="142">
        <f>IF($A42="","",'Situfin serie mensual'!GY41)</f>
        <v>317.80527714399994</v>
      </c>
      <c r="D42" s="142">
        <f>IF($A42="","",'Situfin serie mensual'!GZ41)</f>
        <v>331.74613227099996</v>
      </c>
      <c r="E42" s="142">
        <f>IF($A42="","",'Situfin serie mensual'!HA41)</f>
        <v>168.46883947400002</v>
      </c>
      <c r="F42" s="142">
        <f>IF($A42="","",'Situfin serie mensual'!HB41)</f>
        <v>166.09026483700001</v>
      </c>
      <c r="G42" s="142">
        <f>IF($A42="","",'Situfin serie mensual'!HC41)</f>
        <v>26.587952999000002</v>
      </c>
      <c r="H42" s="142">
        <f>IF($A42="","",'Situfin serie mensual'!HD41)</f>
        <v>138.21269477999999</v>
      </c>
      <c r="I42" s="142">
        <f>IF($A42="","",'Situfin serie mensual'!HE41)</f>
        <v>234.53197959199997</v>
      </c>
      <c r="J42" s="142">
        <f>IF($A42="","",'Situfin serie mensual'!HF41)</f>
        <v>0</v>
      </c>
      <c r="K42" s="142">
        <f>IF($A42="","",'Situfin serie mensual'!HG41)</f>
        <v>0</v>
      </c>
      <c r="L42" s="142">
        <f>IF($A42="","",'Situfin serie mensual'!HH41)</f>
        <v>0</v>
      </c>
      <c r="M42" s="142">
        <f>IF($A42="","",'Situfin serie mensual'!HI41)</f>
        <v>0</v>
      </c>
      <c r="N42" s="142">
        <f t="shared" si="1"/>
        <v>1518.7952569719998</v>
      </c>
      <c r="O42" s="26"/>
      <c r="P42" s="26"/>
    </row>
    <row r="43" spans="1:18" s="143" customFormat="1" ht="12.75" hidden="1" customHeight="1">
      <c r="A43" s="47" t="s">
        <v>75</v>
      </c>
      <c r="B43" s="142">
        <f>IF($A43="","",'Situfin serie mensual'!GX42)</f>
        <v>121.062899402</v>
      </c>
      <c r="C43" s="142">
        <f>IF($A43="","",'Situfin serie mensual'!GY42)</f>
        <v>303.65326462999997</v>
      </c>
      <c r="D43" s="142">
        <f>IF($A43="","",'Situfin serie mensual'!GZ42)</f>
        <v>329.92986420299997</v>
      </c>
      <c r="E43" s="142">
        <f>IF($A43="","",'Situfin serie mensual'!HA42)</f>
        <v>160.50858897400002</v>
      </c>
      <c r="F43" s="142">
        <f>IF($A43="","",'Situfin serie mensual'!HB42)</f>
        <v>112.408354837</v>
      </c>
      <c r="G43" s="142">
        <f>IF($A43="","",'Situfin serie mensual'!HC42)</f>
        <v>11.310839103000001</v>
      </c>
      <c r="H43" s="142">
        <f>IF($A43="","",'Situfin serie mensual'!HD42)</f>
        <v>126.872863438</v>
      </c>
      <c r="I43" s="142">
        <f>IF($A43="","",'Situfin serie mensual'!HE42)</f>
        <v>220.78500610999998</v>
      </c>
      <c r="J43" s="142">
        <f>IF($A43="","",'Situfin serie mensual'!HF42)</f>
        <v>0</v>
      </c>
      <c r="K43" s="142">
        <f>IF($A43="","",'Situfin serie mensual'!HG42)</f>
        <v>0</v>
      </c>
      <c r="L43" s="142">
        <f>IF($A43="","",'Situfin serie mensual'!HH42)</f>
        <v>0</v>
      </c>
      <c r="M43" s="142">
        <f>IF($A43="","",'Situfin serie mensual'!HI42)</f>
        <v>0</v>
      </c>
      <c r="N43" s="142">
        <f t="shared" si="1"/>
        <v>1386.531680697</v>
      </c>
      <c r="O43" s="26"/>
      <c r="P43" s="26"/>
      <c r="Q43" s="26"/>
      <c r="R43" s="180"/>
    </row>
    <row r="44" spans="1:18" s="143" customFormat="1" ht="12.75" hidden="1" customHeight="1">
      <c r="A44" s="47" t="s">
        <v>76</v>
      </c>
      <c r="B44" s="142">
        <f>IF($A44="","",'Situfin serie mensual'!GX43)</f>
        <v>14.289216473</v>
      </c>
      <c r="C44" s="142">
        <f>IF($A44="","",'Situfin serie mensual'!GY43)</f>
        <v>14.152012514000001</v>
      </c>
      <c r="D44" s="142">
        <f>IF($A44="","",'Situfin serie mensual'!GZ43)</f>
        <v>1.8162680680000001</v>
      </c>
      <c r="E44" s="142">
        <f>IF($A44="","",'Situfin serie mensual'!HA43)</f>
        <v>7.9602504999999999</v>
      </c>
      <c r="F44" s="142">
        <f>IF($A44="","",'Situfin serie mensual'!HB43)</f>
        <v>53.681910000000002</v>
      </c>
      <c r="G44" s="142">
        <f>IF($A44="","",'Situfin serie mensual'!HC43)</f>
        <v>15.277113896000001</v>
      </c>
      <c r="H44" s="142">
        <f>IF($A44="","",'Situfin serie mensual'!HD43)</f>
        <v>11.339831342</v>
      </c>
      <c r="I44" s="142">
        <f>IF($A44="","",'Situfin serie mensual'!HE43)</f>
        <v>13.746973482</v>
      </c>
      <c r="J44" s="142">
        <f>IF($A44="","",'Situfin serie mensual'!HF43)</f>
        <v>0</v>
      </c>
      <c r="K44" s="142">
        <f>IF($A44="","",'Situfin serie mensual'!HG43)</f>
        <v>0</v>
      </c>
      <c r="L44" s="142">
        <f>IF($A44="","",'Situfin serie mensual'!HH43)</f>
        <v>0</v>
      </c>
      <c r="M44" s="142">
        <f>IF($A44="","",'Situfin serie mensual'!HI43)</f>
        <v>0</v>
      </c>
      <c r="N44" s="142">
        <f t="shared" si="1"/>
        <v>132.26357627499999</v>
      </c>
      <c r="O44" s="26"/>
      <c r="P44" s="26"/>
    </row>
    <row r="45" spans="1:18" s="143" customFormat="1" ht="12.75" hidden="1" customHeight="1">
      <c r="A45" s="29" t="s">
        <v>77</v>
      </c>
      <c r="B45" s="142">
        <f>IF($A45="","",'Situfin serie mensual'!GX44)</f>
        <v>0</v>
      </c>
      <c r="C45" s="142">
        <f>IF($A45="","",'Situfin serie mensual'!GY44)</f>
        <v>0</v>
      </c>
      <c r="D45" s="142">
        <f>IF($A45="","",'Situfin serie mensual'!GZ44)</f>
        <v>0</v>
      </c>
      <c r="E45" s="142">
        <f>IF($A45="","",'Situfin serie mensual'!HA44)</f>
        <v>0</v>
      </c>
      <c r="F45" s="142">
        <f>IF($A45="","",'Situfin serie mensual'!HB44)</f>
        <v>0</v>
      </c>
      <c r="G45" s="142">
        <f>IF($A45="","",'Situfin serie mensual'!HC44)</f>
        <v>0</v>
      </c>
      <c r="H45" s="142">
        <f>IF($A45="","",'Situfin serie mensual'!HD44)</f>
        <v>0</v>
      </c>
      <c r="I45" s="142">
        <f>IF($A45="","",'Situfin serie mensual'!HE44)</f>
        <v>0</v>
      </c>
      <c r="J45" s="142">
        <f>IF($A45="","",'Situfin serie mensual'!HF44)</f>
        <v>0</v>
      </c>
      <c r="K45" s="142">
        <f>IF($A45="","",'Situfin serie mensual'!HG44)</f>
        <v>0</v>
      </c>
      <c r="L45" s="142">
        <f>IF($A45="","",'Situfin serie mensual'!HH44)</f>
        <v>0</v>
      </c>
      <c r="M45" s="142">
        <f>IF($A45="","",'Situfin serie mensual'!HI44)</f>
        <v>0</v>
      </c>
      <c r="N45" s="142">
        <f t="shared" si="1"/>
        <v>0</v>
      </c>
      <c r="O45" s="26"/>
      <c r="P45" s="26"/>
    </row>
    <row r="46" spans="1:18" s="143" customFormat="1" ht="12.75">
      <c r="A46" s="29" t="s">
        <v>10</v>
      </c>
      <c r="B46" s="142">
        <f>IF($A46="","",'Situfin serie mensual'!GX45)</f>
        <v>305.35630844599996</v>
      </c>
      <c r="C46" s="142">
        <f>IF($A46="","",'Situfin serie mensual'!GY45)</f>
        <v>318.92269044900002</v>
      </c>
      <c r="D46" s="142">
        <f>IF($A46="","",'Situfin serie mensual'!GZ45)</f>
        <v>349.75021752300006</v>
      </c>
      <c r="E46" s="142">
        <f>IF($A46="","",'Situfin serie mensual'!HA45)</f>
        <v>356.70846973199997</v>
      </c>
      <c r="F46" s="142">
        <f>IF($A46="","",'Situfin serie mensual'!HB45)</f>
        <v>333.82637938300002</v>
      </c>
      <c r="G46" s="142">
        <f>IF($A46="","",'Situfin serie mensual'!HC45)</f>
        <v>317.76314457900003</v>
      </c>
      <c r="H46" s="142">
        <f>IF($A46="","",'Situfin serie mensual'!HD45)</f>
        <v>402.602040354</v>
      </c>
      <c r="I46" s="142">
        <f>IF($A46="","",'Situfin serie mensual'!HE45)</f>
        <v>377.13296719700008</v>
      </c>
      <c r="J46" s="142">
        <f>IF($A46="","",'Situfin serie mensual'!HF45)</f>
        <v>0</v>
      </c>
      <c r="K46" s="142">
        <f>IF($A46="","",'Situfin serie mensual'!HG45)</f>
        <v>0</v>
      </c>
      <c r="L46" s="142">
        <f>IF($A46="","",'Situfin serie mensual'!HH45)</f>
        <v>0</v>
      </c>
      <c r="M46" s="142">
        <f>IF($A46="","",'Situfin serie mensual'!HI45)</f>
        <v>0</v>
      </c>
      <c r="N46" s="142">
        <f t="shared" si="1"/>
        <v>2762.062217663</v>
      </c>
      <c r="O46" s="26"/>
      <c r="P46" s="26"/>
    </row>
    <row r="47" spans="1:18" s="143" customFormat="1" ht="12.75" hidden="1" customHeight="1">
      <c r="A47" s="29" t="s">
        <v>58</v>
      </c>
      <c r="B47" s="142">
        <f>IF($A47="","",'Situfin serie mensual'!GX46)</f>
        <v>0</v>
      </c>
      <c r="C47" s="142">
        <f>IF($A47="","",'Situfin serie mensual'!GY46)</f>
        <v>0</v>
      </c>
      <c r="D47" s="142">
        <f>IF($A47="","",'Situfin serie mensual'!GZ46)</f>
        <v>0</v>
      </c>
      <c r="E47" s="142">
        <f>IF($A47="","",'Situfin serie mensual'!HA46)</f>
        <v>0</v>
      </c>
      <c r="F47" s="142">
        <f>IF($A47="","",'Situfin serie mensual'!HB46)</f>
        <v>0</v>
      </c>
      <c r="G47" s="142">
        <f>IF($A47="","",'Situfin serie mensual'!HC46)</f>
        <v>0</v>
      </c>
      <c r="H47" s="142">
        <f>IF($A47="","",'Situfin serie mensual'!HD46)</f>
        <v>0</v>
      </c>
      <c r="I47" s="142">
        <f>IF($A47="","",'Situfin serie mensual'!HE46)</f>
        <v>0</v>
      </c>
      <c r="J47" s="142">
        <f>IF($A47="","",'Situfin serie mensual'!HF46)</f>
        <v>0</v>
      </c>
      <c r="K47" s="142">
        <f>IF($A47="","",'Situfin serie mensual'!HG46)</f>
        <v>0</v>
      </c>
      <c r="L47" s="142">
        <f>IF($A47="","",'Situfin serie mensual'!HH46)</f>
        <v>0</v>
      </c>
      <c r="M47" s="142">
        <f>IF($A47="","",'Situfin serie mensual'!HI46)</f>
        <v>0</v>
      </c>
      <c r="N47" s="142">
        <f t="shared" si="1"/>
        <v>0</v>
      </c>
      <c r="O47" s="26"/>
      <c r="P47" s="26"/>
    </row>
    <row r="48" spans="1:18" s="143" customFormat="1" ht="12.75" hidden="1" customHeight="1">
      <c r="A48" s="29" t="s">
        <v>59</v>
      </c>
      <c r="B48" s="142">
        <f>IF($A48="","",'Situfin serie mensual'!GX47)</f>
        <v>0</v>
      </c>
      <c r="C48" s="142">
        <f>IF($A48="","",'Situfin serie mensual'!GY47)</f>
        <v>0</v>
      </c>
      <c r="D48" s="142">
        <f>IF($A48="","",'Situfin serie mensual'!GZ47)</f>
        <v>0</v>
      </c>
      <c r="E48" s="142">
        <f>IF($A48="","",'Situfin serie mensual'!HA47)</f>
        <v>0</v>
      </c>
      <c r="F48" s="142">
        <f>IF($A48="","",'Situfin serie mensual'!HB47)</f>
        <v>0</v>
      </c>
      <c r="G48" s="142">
        <f>IF($A48="","",'Situfin serie mensual'!HC47)</f>
        <v>0</v>
      </c>
      <c r="H48" s="142">
        <f>IF($A48="","",'Situfin serie mensual'!HD47)</f>
        <v>0</v>
      </c>
      <c r="I48" s="142">
        <f>IF($A48="","",'Situfin serie mensual'!HE47)</f>
        <v>0</v>
      </c>
      <c r="J48" s="142">
        <f>IF($A48="","",'Situfin serie mensual'!HF47)</f>
        <v>0</v>
      </c>
      <c r="K48" s="142">
        <f>IF($A48="","",'Situfin serie mensual'!HG47)</f>
        <v>0</v>
      </c>
      <c r="L48" s="142">
        <f>IF($A48="","",'Situfin serie mensual'!HH47)</f>
        <v>0</v>
      </c>
      <c r="M48" s="142">
        <f>IF($A48="","",'Situfin serie mensual'!HI47)</f>
        <v>0</v>
      </c>
      <c r="N48" s="142">
        <f t="shared" si="1"/>
        <v>0</v>
      </c>
      <c r="O48" s="26"/>
      <c r="P48" s="26"/>
    </row>
    <row r="49" spans="1:16" s="143" customFormat="1" ht="12.75" hidden="1" customHeight="1">
      <c r="A49" s="29" t="s">
        <v>60</v>
      </c>
      <c r="B49" s="142">
        <f>IF($A49="","",'Situfin serie mensual'!GX48)</f>
        <v>0</v>
      </c>
      <c r="C49" s="142">
        <f>IF($A49="","",'Situfin serie mensual'!GY48)</f>
        <v>0</v>
      </c>
      <c r="D49" s="142">
        <f>IF($A49="","",'Situfin serie mensual'!GZ48)</f>
        <v>0</v>
      </c>
      <c r="E49" s="142">
        <f>IF($A49="","",'Situfin serie mensual'!HA48)</f>
        <v>0</v>
      </c>
      <c r="F49" s="142">
        <f>IF($A49="","",'Situfin serie mensual'!HB48)</f>
        <v>0</v>
      </c>
      <c r="G49" s="142">
        <f>IF($A49="","",'Situfin serie mensual'!HC48)</f>
        <v>0</v>
      </c>
      <c r="H49" s="142">
        <f>IF($A49="","",'Situfin serie mensual'!HD48)</f>
        <v>0</v>
      </c>
      <c r="I49" s="142">
        <f>IF($A49="","",'Situfin serie mensual'!HE48)</f>
        <v>0</v>
      </c>
      <c r="J49" s="142">
        <f>IF($A49="","",'Situfin serie mensual'!HF48)</f>
        <v>0</v>
      </c>
      <c r="K49" s="142">
        <f>IF($A49="","",'Situfin serie mensual'!HG48)</f>
        <v>0</v>
      </c>
      <c r="L49" s="142">
        <f>IF($A49="","",'Situfin serie mensual'!HH48)</f>
        <v>0</v>
      </c>
      <c r="M49" s="142">
        <f>IF($A49="","",'Situfin serie mensual'!HI48)</f>
        <v>0</v>
      </c>
      <c r="N49" s="142">
        <f t="shared" si="1"/>
        <v>0</v>
      </c>
      <c r="O49" s="26"/>
      <c r="P49" s="26"/>
    </row>
    <row r="50" spans="1:16" s="143" customFormat="1" ht="12.75" hidden="1" customHeight="1">
      <c r="A50" s="29" t="s">
        <v>61</v>
      </c>
      <c r="B50" s="142">
        <f>IF($A50="","",'Situfin serie mensual'!GX49)</f>
        <v>1.5043003619999999</v>
      </c>
      <c r="C50" s="142">
        <f>IF($A50="","",'Situfin serie mensual'!GY49)</f>
        <v>1.9451833569999999</v>
      </c>
      <c r="D50" s="142">
        <f>IF($A50="","",'Situfin serie mensual'!GZ49)</f>
        <v>2.506279556</v>
      </c>
      <c r="E50" s="142">
        <f>IF($A50="","",'Situfin serie mensual'!HA49)</f>
        <v>1.178971794</v>
      </c>
      <c r="F50" s="142">
        <f>IF($A50="","",'Situfin serie mensual'!HB49)</f>
        <v>1.490869019</v>
      </c>
      <c r="G50" s="142">
        <f>IF($A50="","",'Situfin serie mensual'!HC49)</f>
        <v>5.068332088</v>
      </c>
      <c r="H50" s="142">
        <f>IF($A50="","",'Situfin serie mensual'!HD49)</f>
        <v>1.7820659189999999</v>
      </c>
      <c r="I50" s="142">
        <f>IF($A50="","",'Situfin serie mensual'!HE49)</f>
        <v>4.5479717270000002</v>
      </c>
      <c r="J50" s="142">
        <f>IF($A50="","",'Situfin serie mensual'!HF49)</f>
        <v>0</v>
      </c>
      <c r="K50" s="142">
        <f>IF($A50="","",'Situfin serie mensual'!HG49)</f>
        <v>0</v>
      </c>
      <c r="L50" s="142">
        <f>IF($A50="","",'Situfin serie mensual'!HH49)</f>
        <v>0</v>
      </c>
      <c r="M50" s="142">
        <f>IF($A50="","",'Situfin serie mensual'!HI49)</f>
        <v>0</v>
      </c>
      <c r="N50" s="142">
        <f t="shared" si="1"/>
        <v>20.023973821999999</v>
      </c>
      <c r="O50" s="26"/>
      <c r="P50" s="26"/>
    </row>
    <row r="51" spans="1:16" s="143" customFormat="1" ht="12.75" hidden="1" customHeight="1">
      <c r="A51" s="29" t="s">
        <v>59</v>
      </c>
      <c r="B51" s="142">
        <f>IF($A51="","",'Situfin serie mensual'!GX50)</f>
        <v>1.5043003619999999</v>
      </c>
      <c r="C51" s="142">
        <f>IF($A51="","",'Situfin serie mensual'!GY50)</f>
        <v>1.9451833569999999</v>
      </c>
      <c r="D51" s="142">
        <f>IF($A51="","",'Situfin serie mensual'!GZ50)</f>
        <v>2.506279556</v>
      </c>
      <c r="E51" s="142">
        <f>IF($A51="","",'Situfin serie mensual'!HA50)</f>
        <v>1.178971794</v>
      </c>
      <c r="F51" s="142">
        <f>IF($A51="","",'Situfin serie mensual'!HB50)</f>
        <v>1.490869019</v>
      </c>
      <c r="G51" s="142">
        <f>IF($A51="","",'Situfin serie mensual'!HC50)</f>
        <v>5.068332088</v>
      </c>
      <c r="H51" s="142">
        <f>IF($A51="","",'Situfin serie mensual'!HD50)</f>
        <v>1.7820659189999999</v>
      </c>
      <c r="I51" s="142">
        <f>IF($A51="","",'Situfin serie mensual'!HE50)</f>
        <v>4.5479717270000002</v>
      </c>
      <c r="J51" s="142">
        <f>IF($A51="","",'Situfin serie mensual'!HF50)</f>
        <v>0</v>
      </c>
      <c r="K51" s="142">
        <f>IF($A51="","",'Situfin serie mensual'!HG50)</f>
        <v>0</v>
      </c>
      <c r="L51" s="142">
        <f>IF($A51="","",'Situfin serie mensual'!HH50)</f>
        <v>0</v>
      </c>
      <c r="M51" s="142">
        <f>IF($A51="","",'Situfin serie mensual'!HI50)</f>
        <v>0</v>
      </c>
      <c r="N51" s="142">
        <f t="shared" si="1"/>
        <v>20.023973821999999</v>
      </c>
      <c r="O51" s="26"/>
      <c r="P51" s="26"/>
    </row>
    <row r="52" spans="1:16" s="143" customFormat="1" ht="12.75" hidden="1" customHeight="1">
      <c r="A52" s="29" t="s">
        <v>60</v>
      </c>
      <c r="B52" s="142">
        <f>IF($A52="","",'Situfin serie mensual'!GX51)</f>
        <v>0</v>
      </c>
      <c r="C52" s="142">
        <f>IF($A52="","",'Situfin serie mensual'!GY51)</f>
        <v>0</v>
      </c>
      <c r="D52" s="142">
        <f>IF($A52="","",'Situfin serie mensual'!GZ51)</f>
        <v>0</v>
      </c>
      <c r="E52" s="142">
        <f>IF($A52="","",'Situfin serie mensual'!HA51)</f>
        <v>0</v>
      </c>
      <c r="F52" s="142">
        <f>IF($A52="","",'Situfin serie mensual'!HB51)</f>
        <v>0</v>
      </c>
      <c r="G52" s="142">
        <f>IF($A52="","",'Situfin serie mensual'!HC51)</f>
        <v>0</v>
      </c>
      <c r="H52" s="142">
        <f>IF($A52="","",'Situfin serie mensual'!HD51)</f>
        <v>0</v>
      </c>
      <c r="I52" s="142">
        <f>IF($A52="","",'Situfin serie mensual'!HE51)</f>
        <v>0</v>
      </c>
      <c r="J52" s="142">
        <f>IF($A52="","",'Situfin serie mensual'!HF51)</f>
        <v>0</v>
      </c>
      <c r="K52" s="142">
        <f>IF($A52="","",'Situfin serie mensual'!HG51)</f>
        <v>0</v>
      </c>
      <c r="L52" s="142">
        <f>IF($A52="","",'Situfin serie mensual'!HH51)</f>
        <v>0</v>
      </c>
      <c r="M52" s="142">
        <f>IF($A52="","",'Situfin serie mensual'!HI51)</f>
        <v>0</v>
      </c>
      <c r="N52" s="142">
        <f t="shared" si="1"/>
        <v>0</v>
      </c>
      <c r="O52" s="26"/>
      <c r="P52" s="26"/>
    </row>
    <row r="53" spans="1:16" s="143" customFormat="1" ht="12.75" hidden="1" customHeight="1">
      <c r="A53" s="29" t="s">
        <v>62</v>
      </c>
      <c r="B53" s="142">
        <f>IF($A53="","",'Situfin serie mensual'!GX52)</f>
        <v>303.85200808399998</v>
      </c>
      <c r="C53" s="142">
        <f>IF($A53="","",'Situfin serie mensual'!GY52)</f>
        <v>316.977507092</v>
      </c>
      <c r="D53" s="142">
        <f>IF($A53="","",'Situfin serie mensual'!GZ52)</f>
        <v>347.24393796700008</v>
      </c>
      <c r="E53" s="142">
        <f>IF($A53="","",'Situfin serie mensual'!HA52)</f>
        <v>355.52949793799996</v>
      </c>
      <c r="F53" s="142">
        <f>IF($A53="","",'Situfin serie mensual'!HB52)</f>
        <v>332.33551036400002</v>
      </c>
      <c r="G53" s="142">
        <f>IF($A53="","",'Situfin serie mensual'!HC52)</f>
        <v>312.69481249100005</v>
      </c>
      <c r="H53" s="142">
        <f>IF($A53="","",'Situfin serie mensual'!HD52)</f>
        <v>400.81997443500001</v>
      </c>
      <c r="I53" s="142">
        <f>IF($A53="","",'Situfin serie mensual'!HE52)</f>
        <v>372.58499547000008</v>
      </c>
      <c r="J53" s="142">
        <f>IF($A53="","",'Situfin serie mensual'!HF52)</f>
        <v>0</v>
      </c>
      <c r="K53" s="142">
        <f>IF($A53="","",'Situfin serie mensual'!HG52)</f>
        <v>0</v>
      </c>
      <c r="L53" s="142">
        <f>IF($A53="","",'Situfin serie mensual'!HH52)</f>
        <v>0</v>
      </c>
      <c r="M53" s="142">
        <f>IF($A53="","",'Situfin serie mensual'!HI52)</f>
        <v>0</v>
      </c>
      <c r="N53" s="142">
        <f t="shared" si="1"/>
        <v>2742.0382438410002</v>
      </c>
      <c r="O53" s="26"/>
      <c r="P53" s="26"/>
    </row>
    <row r="54" spans="1:16" s="143" customFormat="1" ht="12.75" hidden="1" customHeight="1">
      <c r="A54" s="29" t="s">
        <v>59</v>
      </c>
      <c r="B54" s="142">
        <f>IF($A54="","",'Situfin serie mensual'!GX53)</f>
        <v>190.28405762299997</v>
      </c>
      <c r="C54" s="142">
        <f>IF($A54="","",'Situfin serie mensual'!GY53)</f>
        <v>236.825137595</v>
      </c>
      <c r="D54" s="142">
        <f>IF($A54="","",'Situfin serie mensual'!GZ53)</f>
        <v>257.98765522200006</v>
      </c>
      <c r="E54" s="142">
        <f>IF($A54="","",'Situfin serie mensual'!HA53)</f>
        <v>245.48238980199997</v>
      </c>
      <c r="F54" s="142">
        <f>IF($A54="","",'Situfin serie mensual'!HB53)</f>
        <v>287.24945634300002</v>
      </c>
      <c r="G54" s="142">
        <f>IF($A54="","",'Situfin serie mensual'!HC53)</f>
        <v>260.59406391700003</v>
      </c>
      <c r="H54" s="142">
        <f>IF($A54="","",'Situfin serie mensual'!HD53)</f>
        <v>341.67571359800002</v>
      </c>
      <c r="I54" s="142">
        <f>IF($A54="","",'Situfin serie mensual'!HE53)</f>
        <v>327.10465705500008</v>
      </c>
      <c r="J54" s="142">
        <f>IF($A54="","",'Situfin serie mensual'!HF53)</f>
        <v>0</v>
      </c>
      <c r="K54" s="142">
        <f>IF($A54="","",'Situfin serie mensual'!HG53)</f>
        <v>0</v>
      </c>
      <c r="L54" s="142">
        <f>IF($A54="","",'Situfin serie mensual'!HH53)</f>
        <v>0</v>
      </c>
      <c r="M54" s="142">
        <f>IF($A54="","",'Situfin serie mensual'!HI53)</f>
        <v>0</v>
      </c>
      <c r="N54" s="142">
        <f t="shared" si="1"/>
        <v>2147.2031311550004</v>
      </c>
      <c r="O54" s="26"/>
      <c r="P54" s="26"/>
    </row>
    <row r="55" spans="1:16" s="143" customFormat="1" ht="12.75" hidden="1" customHeight="1">
      <c r="A55" s="29" t="s">
        <v>60</v>
      </c>
      <c r="B55" s="142">
        <f>IF($A55="","",'Situfin serie mensual'!GX54)</f>
        <v>113.567950461</v>
      </c>
      <c r="C55" s="142">
        <f>IF($A55="","",'Situfin serie mensual'!GY54)</f>
        <v>80.152369496999995</v>
      </c>
      <c r="D55" s="142">
        <f>IF($A55="","",'Situfin serie mensual'!GZ54)</f>
        <v>89.256282745000007</v>
      </c>
      <c r="E55" s="142">
        <f>IF($A55="","",'Situfin serie mensual'!HA54)</f>
        <v>110.04710813600001</v>
      </c>
      <c r="F55" s="142">
        <f>IF($A55="","",'Situfin serie mensual'!HB54)</f>
        <v>45.086054021000002</v>
      </c>
      <c r="G55" s="142">
        <f>IF($A55="","",'Situfin serie mensual'!HC54)</f>
        <v>52.100748574000001</v>
      </c>
      <c r="H55" s="142">
        <f>IF($A55="","",'Situfin serie mensual'!HD54)</f>
        <v>59.144260837000004</v>
      </c>
      <c r="I55" s="142">
        <f>IF($A55="","",'Situfin serie mensual'!HE54)</f>
        <v>45.480338414999999</v>
      </c>
      <c r="J55" s="142">
        <f>IF($A55="","",'Situfin serie mensual'!HF54)</f>
        <v>0</v>
      </c>
      <c r="K55" s="142">
        <f>IF($A55="","",'Situfin serie mensual'!HG54)</f>
        <v>0</v>
      </c>
      <c r="L55" s="142">
        <f>IF($A55="","",'Situfin serie mensual'!HH54)</f>
        <v>0</v>
      </c>
      <c r="M55" s="142">
        <f>IF($A55="","",'Situfin serie mensual'!HI54)</f>
        <v>0</v>
      </c>
      <c r="N55" s="142">
        <f t="shared" si="1"/>
        <v>594.83511268600012</v>
      </c>
      <c r="O55" s="26"/>
      <c r="P55" s="26"/>
    </row>
    <row r="56" spans="1:16" s="143" customFormat="1" ht="12.75">
      <c r="A56" s="29" t="s">
        <v>78</v>
      </c>
      <c r="B56" s="142">
        <f>IF($A56="","",'Situfin serie mensual'!GX55)</f>
        <v>497.644703252</v>
      </c>
      <c r="C56" s="142">
        <f>IF($A56="","",'Situfin serie mensual'!GY55)</f>
        <v>461.07844755899998</v>
      </c>
      <c r="D56" s="142">
        <f>IF($A56="","",'Situfin serie mensual'!GZ55)</f>
        <v>503.29528442100002</v>
      </c>
      <c r="E56" s="142">
        <f>IF($A56="","",'Situfin serie mensual'!HA55)</f>
        <v>1229.9007744839998</v>
      </c>
      <c r="F56" s="142">
        <f>IF($A56="","",'Situfin serie mensual'!HB55)</f>
        <v>669.81188811800007</v>
      </c>
      <c r="G56" s="142">
        <f>IF($A56="","",'Situfin serie mensual'!HC55)</f>
        <v>778.32101483199995</v>
      </c>
      <c r="H56" s="142">
        <f>IF($A56="","",'Situfin serie mensual'!HD55)</f>
        <v>454.23279160800007</v>
      </c>
      <c r="I56" s="142">
        <f>IF($A56="","",'Situfin serie mensual'!HE55)</f>
        <v>876.81813617000012</v>
      </c>
      <c r="J56" s="142">
        <f>IF($A56="","",'Situfin serie mensual'!HF55)</f>
        <v>0</v>
      </c>
      <c r="K56" s="142">
        <f>IF($A56="","",'Situfin serie mensual'!HG55)</f>
        <v>0</v>
      </c>
      <c r="L56" s="142">
        <f>IF($A56="","",'Situfin serie mensual'!HH55)</f>
        <v>0</v>
      </c>
      <c r="M56" s="142">
        <f>IF($A56="","",'Situfin serie mensual'!HI55)</f>
        <v>0</v>
      </c>
      <c r="N56" s="142">
        <f t="shared" si="1"/>
        <v>5471.1030404440007</v>
      </c>
      <c r="O56" s="26"/>
      <c r="P56" s="26"/>
    </row>
    <row r="57" spans="1:16" s="143" customFormat="1" ht="12.75">
      <c r="A57" s="47" t="s">
        <v>277</v>
      </c>
      <c r="B57" s="142">
        <f>IF($A57="","",'Situfin serie mensual'!GX56)</f>
        <v>262.32104478499997</v>
      </c>
      <c r="C57" s="142">
        <f>IF($A57="","",'Situfin serie mensual'!GY56)</f>
        <v>285.17527377499999</v>
      </c>
      <c r="D57" s="142">
        <f>IF($A57="","",'Situfin serie mensual'!GZ56)</f>
        <v>273.63009894400005</v>
      </c>
      <c r="E57" s="142">
        <f>IF($A57="","",'Situfin serie mensual'!HA56)</f>
        <v>281.73489987100004</v>
      </c>
      <c r="F57" s="142">
        <f>IF($A57="","",'Situfin serie mensual'!HB56)</f>
        <v>278.83563601900005</v>
      </c>
      <c r="G57" s="142">
        <f>IF($A57="","",'Situfin serie mensual'!HC56)</f>
        <v>286.08662753999999</v>
      </c>
      <c r="H57" s="142">
        <f>IF($A57="","",'Situfin serie mensual'!HD56)</f>
        <v>288.82947146900005</v>
      </c>
      <c r="I57" s="142">
        <f>IF($A57="","",'Situfin serie mensual'!HE56)</f>
        <v>293.68029157500001</v>
      </c>
      <c r="J57" s="142"/>
      <c r="K57" s="142"/>
      <c r="L57" s="142"/>
      <c r="M57" s="142"/>
      <c r="N57" s="142">
        <f t="shared" si="1"/>
        <v>2250.2933439779999</v>
      </c>
      <c r="O57" s="26"/>
      <c r="P57" s="26"/>
    </row>
    <row r="58" spans="1:16" s="143" customFormat="1" ht="12.75">
      <c r="A58" s="47" t="s">
        <v>278</v>
      </c>
      <c r="B58" s="142">
        <f>IF($A58="","",'Situfin serie mensual'!GX57)</f>
        <v>214.613616073</v>
      </c>
      <c r="C58" s="142">
        <f>IF($A58="","",'Situfin serie mensual'!GY57)</f>
        <v>145.20234210999999</v>
      </c>
      <c r="D58" s="142">
        <f>IF($A58="","",'Situfin serie mensual'!GZ57)</f>
        <v>199.14616286099999</v>
      </c>
      <c r="E58" s="142">
        <f>IF($A58="","",'Situfin serie mensual'!HA57)</f>
        <v>911.55902036499992</v>
      </c>
      <c r="F58" s="142">
        <f>IF($A58="","",'Situfin serie mensual'!HB57)</f>
        <v>372.93146080300005</v>
      </c>
      <c r="G58" s="142">
        <f>IF($A58="","",'Situfin serie mensual'!HC57)</f>
        <v>468.82750163700001</v>
      </c>
      <c r="H58" s="142">
        <f>IF($A58="","",'Situfin serie mensual'!HD57)</f>
        <v>145.687918317</v>
      </c>
      <c r="I58" s="142">
        <f>IF($A58="","",'Situfin serie mensual'!HE57)</f>
        <v>560.65437749099999</v>
      </c>
      <c r="J58" s="142"/>
      <c r="K58" s="142"/>
      <c r="L58" s="142"/>
      <c r="M58" s="142"/>
      <c r="N58" s="142">
        <f t="shared" si="1"/>
        <v>3018.6223996569997</v>
      </c>
      <c r="O58" s="26"/>
      <c r="P58" s="26"/>
    </row>
    <row r="59" spans="1:16" s="143" customFormat="1" ht="12.75">
      <c r="A59" s="47" t="s">
        <v>279</v>
      </c>
      <c r="B59" s="142">
        <f>IF($A59="","",'Situfin serie mensual'!GX58)</f>
        <v>20.710042394000002</v>
      </c>
      <c r="C59" s="142">
        <f>IF($A59="","",'Situfin serie mensual'!GY58)</f>
        <v>30.700831674000003</v>
      </c>
      <c r="D59" s="142">
        <f>IF($A59="","",'Situfin serie mensual'!GZ58)</f>
        <v>30.519022615999997</v>
      </c>
      <c r="E59" s="142">
        <f>IF($A59="","",'Situfin serie mensual'!HA58)</f>
        <v>36.606854247999998</v>
      </c>
      <c r="F59" s="142">
        <f>IF($A59="","",'Situfin serie mensual'!HB58)</f>
        <v>18.044791296</v>
      </c>
      <c r="G59" s="142">
        <f>IF($A59="","",'Situfin serie mensual'!HC58)</f>
        <v>23.406885655000004</v>
      </c>
      <c r="H59" s="142">
        <f>IF($A59="","",'Situfin serie mensual'!HD58)</f>
        <v>19.715401822</v>
      </c>
      <c r="I59" s="142">
        <f>IF($A59="","",'Situfin serie mensual'!HE58)</f>
        <v>22.483467103999999</v>
      </c>
      <c r="J59" s="142"/>
      <c r="K59" s="142"/>
      <c r="L59" s="142"/>
      <c r="M59" s="142"/>
      <c r="N59" s="142">
        <f t="shared" si="1"/>
        <v>202.18729680899997</v>
      </c>
      <c r="O59" s="26"/>
      <c r="P59" s="26"/>
    </row>
    <row r="60" spans="1:16" s="143" customFormat="1" ht="12.75">
      <c r="A60" s="29" t="s">
        <v>79</v>
      </c>
      <c r="B60" s="142">
        <f>IF($A60="","",'Situfin serie mensual'!GX59)</f>
        <v>41.243180448000004</v>
      </c>
      <c r="C60" s="142">
        <f>IF($A60="","",'Situfin serie mensual'!GY59)</f>
        <v>41.754725809999996</v>
      </c>
      <c r="D60" s="142">
        <f>IF($A60="","",'Situfin serie mensual'!GZ59)</f>
        <v>235.92106307100002</v>
      </c>
      <c r="E60" s="142">
        <f>IF($A60="","",'Situfin serie mensual'!HA59)</f>
        <v>69.079582385999998</v>
      </c>
      <c r="F60" s="142">
        <f>IF($A60="","",'Situfin serie mensual'!HB59)</f>
        <v>37.462054514000002</v>
      </c>
      <c r="G60" s="142">
        <f>IF($A60="","",'Situfin serie mensual'!HC59)</f>
        <v>48.365206979</v>
      </c>
      <c r="H60" s="142">
        <f>IF($A60="","",'Situfin serie mensual'!HD59)</f>
        <v>377.46767568700005</v>
      </c>
      <c r="I60" s="142">
        <f>IF($A60="","",'Situfin serie mensual'!HE59)</f>
        <v>82.687648748000001</v>
      </c>
      <c r="J60" s="142">
        <f>IF($A60="","",'Situfin serie mensual'!HF59)</f>
        <v>0</v>
      </c>
      <c r="K60" s="142">
        <f>IF($A60="","",'Situfin serie mensual'!HG59)</f>
        <v>0</v>
      </c>
      <c r="L60" s="142">
        <f>IF($A60="","",'Situfin serie mensual'!HH59)</f>
        <v>0</v>
      </c>
      <c r="M60" s="142">
        <f>IF($A60="","",'Situfin serie mensual'!HI59)</f>
        <v>0</v>
      </c>
      <c r="N60" s="142">
        <f t="shared" si="1"/>
        <v>933.98113764300001</v>
      </c>
      <c r="O60" s="26"/>
      <c r="P60" s="26"/>
    </row>
    <row r="61" spans="1:16" s="143" customFormat="1" ht="12.75" customHeight="1">
      <c r="A61" s="29" t="s">
        <v>80</v>
      </c>
      <c r="B61" s="142">
        <f>IF($A61="","",'Situfin serie mensual'!GX60)</f>
        <v>18.764249133</v>
      </c>
      <c r="C61" s="142">
        <f>IF($A61="","",'Situfin serie mensual'!GY60)</f>
        <v>14.657161009999999</v>
      </c>
      <c r="D61" s="142">
        <f>IF($A61="","",'Situfin serie mensual'!GZ60)</f>
        <v>189.01965766400002</v>
      </c>
      <c r="E61" s="142">
        <f>IF($A61="","",'Situfin serie mensual'!HA60)</f>
        <v>19.305537243000003</v>
      </c>
      <c r="F61" s="142">
        <f>IF($A61="","",'Situfin serie mensual'!HB60)</f>
        <v>10.407426337</v>
      </c>
      <c r="G61" s="142">
        <f>IF($A61="","",'Situfin serie mensual'!HC60)</f>
        <v>18.845349406</v>
      </c>
      <c r="H61" s="142">
        <f>IF($A61="","",'Situfin serie mensual'!HD60)</f>
        <v>24.548681719999998</v>
      </c>
      <c r="I61" s="142">
        <f>IF($A61="","",'Situfin serie mensual'!HE60)</f>
        <v>52.812218790000003</v>
      </c>
      <c r="J61" s="142">
        <f>IF($A61="","",'Situfin serie mensual'!HF60)</f>
        <v>0</v>
      </c>
      <c r="K61" s="142">
        <f>IF($A61="","",'Situfin serie mensual'!HG60)</f>
        <v>0</v>
      </c>
      <c r="L61" s="142">
        <f>IF($A61="","",'Situfin serie mensual'!HH60)</f>
        <v>0</v>
      </c>
      <c r="M61" s="142">
        <f>IF($A61="","",'Situfin serie mensual'!HI60)</f>
        <v>0</v>
      </c>
      <c r="N61" s="142">
        <f t="shared" si="1"/>
        <v>348.36028130300008</v>
      </c>
      <c r="O61" s="26"/>
      <c r="P61" s="26"/>
    </row>
    <row r="62" spans="1:16" s="143" customFormat="1" ht="25.5" customHeight="1">
      <c r="A62" s="49" t="s">
        <v>81</v>
      </c>
      <c r="B62" s="142">
        <f>IF($A62="","",'Situfin serie mensual'!GX61)</f>
        <v>5</v>
      </c>
      <c r="C62" s="142">
        <f>IF($A62="","",'Situfin serie mensual'!GY61)</f>
        <v>2.4363447000000003</v>
      </c>
      <c r="D62" s="142">
        <f>IF($A62="","",'Situfin serie mensual'!GZ61)</f>
        <v>167</v>
      </c>
      <c r="E62" s="142">
        <f>IF($A62="","",'Situfin serie mensual'!HA61)</f>
        <v>6.2526553000000007</v>
      </c>
      <c r="F62" s="142">
        <f>IF($A62="","",'Situfin serie mensual'!HB61)</f>
        <v>3</v>
      </c>
      <c r="G62" s="142">
        <f>IF($A62="","",'Situfin serie mensual'!HC61)</f>
        <v>3.3450000000000002</v>
      </c>
      <c r="H62" s="142">
        <f>IF($A62="","",'Situfin serie mensual'!HD61)</f>
        <v>3.0049999999999999</v>
      </c>
      <c r="I62" s="142">
        <f>IF($A62="","",'Situfin serie mensual'!HE61)</f>
        <v>22.293528770000002</v>
      </c>
      <c r="J62" s="142">
        <f>IF($A62="","",'Situfin serie mensual'!HF61)</f>
        <v>0</v>
      </c>
      <c r="K62" s="142">
        <f>IF($A62="","",'Situfin serie mensual'!HG61)</f>
        <v>0</v>
      </c>
      <c r="L62" s="142">
        <f>IF($A62="","",'Situfin serie mensual'!HH61)</f>
        <v>0</v>
      </c>
      <c r="M62" s="142">
        <f>IF($A62="","",'Situfin serie mensual'!HI61)</f>
        <v>0</v>
      </c>
      <c r="N62" s="142">
        <f t="shared" si="1"/>
        <v>212.33252877000001</v>
      </c>
      <c r="O62" s="26"/>
      <c r="P62" s="26"/>
    </row>
    <row r="63" spans="1:16" s="143" customFormat="1" ht="12.75" customHeight="1">
      <c r="A63" s="49" t="s">
        <v>82</v>
      </c>
      <c r="B63" s="142">
        <f>IF($A63="","",'Situfin serie mensual'!GX62)</f>
        <v>9.3737218999999996</v>
      </c>
      <c r="C63" s="142">
        <f>IF($A63="","",'Situfin serie mensual'!GY62)</f>
        <v>6.0894722739999994</v>
      </c>
      <c r="D63" s="142">
        <f>IF($A63="","",'Situfin serie mensual'!GZ62)</f>
        <v>9.487838009999999</v>
      </c>
      <c r="E63" s="142">
        <f>IF($A63="","",'Situfin serie mensual'!HA62)</f>
        <v>7.3426401859999988</v>
      </c>
      <c r="F63" s="142">
        <f>IF($A63="","",'Situfin serie mensual'!HB62)</f>
        <v>3.1594064259999999</v>
      </c>
      <c r="G63" s="142">
        <f>IF($A63="","",'Situfin serie mensual'!HC62)</f>
        <v>9.1438699280000009</v>
      </c>
      <c r="H63" s="142">
        <f>IF($A63="","",'Situfin serie mensual'!HD62)</f>
        <v>8.631641063</v>
      </c>
      <c r="I63" s="142">
        <f>IF($A63="","",'Situfin serie mensual'!HE62)</f>
        <v>13.333719148</v>
      </c>
      <c r="J63" s="142">
        <f>IF($A63="","",'Situfin serie mensual'!HF62)</f>
        <v>0</v>
      </c>
      <c r="K63" s="142">
        <f>IF($A63="","",'Situfin serie mensual'!HG62)</f>
        <v>0</v>
      </c>
      <c r="L63" s="142">
        <f>IF($A63="","",'Situfin serie mensual'!HH62)</f>
        <v>0</v>
      </c>
      <c r="M63" s="142">
        <f>IF($A63="","",'Situfin serie mensual'!HI62)</f>
        <v>0</v>
      </c>
      <c r="N63" s="142">
        <f t="shared" si="1"/>
        <v>66.56230893499999</v>
      </c>
      <c r="O63" s="26"/>
      <c r="P63" s="26"/>
    </row>
    <row r="64" spans="1:16" s="143" customFormat="1" ht="25.5" customHeight="1">
      <c r="A64" s="49" t="s">
        <v>83</v>
      </c>
      <c r="B64" s="142">
        <f>IF($A64="","",'Situfin serie mensual'!GX63)</f>
        <v>0</v>
      </c>
      <c r="C64" s="142">
        <f>IF($A64="","",'Situfin serie mensual'!GY63)</f>
        <v>1.8450781360000001</v>
      </c>
      <c r="D64" s="142">
        <f>IF($A64="","",'Situfin serie mensual'!GZ63)</f>
        <v>0</v>
      </c>
      <c r="E64" s="142">
        <f>IF($A64="","",'Situfin serie mensual'!HA63)</f>
        <v>3.0983894810000003</v>
      </c>
      <c r="F64" s="142">
        <f>IF($A64="","",'Situfin serie mensual'!HB63)</f>
        <v>5.5913407999999998E-2</v>
      </c>
      <c r="G64" s="142">
        <f>IF($A64="","",'Situfin serie mensual'!HC63)</f>
        <v>1.8824019029999999</v>
      </c>
      <c r="H64" s="142">
        <f>IF($A64="","",'Situfin serie mensual'!HD63)</f>
        <v>4.855034045</v>
      </c>
      <c r="I64" s="142">
        <f>IF($A64="","",'Situfin serie mensual'!HE63)</f>
        <v>11.448992373000001</v>
      </c>
      <c r="J64" s="142">
        <f>IF($A64="","",'Situfin serie mensual'!HF63)</f>
        <v>0</v>
      </c>
      <c r="K64" s="142">
        <f>IF($A64="","",'Situfin serie mensual'!HG63)</f>
        <v>0</v>
      </c>
      <c r="L64" s="142">
        <f>IF($A64="","",'Situfin serie mensual'!HH63)</f>
        <v>0</v>
      </c>
      <c r="M64" s="142">
        <f>IF($A64="","",'Situfin serie mensual'!HI63)</f>
        <v>0</v>
      </c>
      <c r="N64" s="142">
        <f t="shared" si="1"/>
        <v>23.185809345999999</v>
      </c>
      <c r="O64" s="26"/>
      <c r="P64" s="26"/>
    </row>
    <row r="65" spans="1:18" s="143" customFormat="1" ht="12.75" customHeight="1">
      <c r="A65" s="29" t="s">
        <v>84</v>
      </c>
      <c r="B65" s="142">
        <f>IF($A65="","",'Situfin serie mensual'!GX64)</f>
        <v>1.2874739369999999</v>
      </c>
      <c r="C65" s="142">
        <f>IF($A65="","",'Situfin serie mensual'!GY64)</f>
        <v>1.7540126039999999</v>
      </c>
      <c r="D65" s="142">
        <f>IF($A65="","",'Situfin serie mensual'!GZ64)</f>
        <v>9.8645663579999994</v>
      </c>
      <c r="E65" s="142">
        <f>IF($A65="","",'Situfin serie mensual'!HA64)</f>
        <v>0.58592898000000004</v>
      </c>
      <c r="F65" s="142">
        <f>IF($A65="","",'Situfin serie mensual'!HB64)</f>
        <v>1.791183207</v>
      </c>
      <c r="G65" s="142">
        <f>IF($A65="","",'Situfin serie mensual'!HC64)</f>
        <v>1.6021542790000001</v>
      </c>
      <c r="H65" s="142">
        <f>IF($A65="","",'Situfin serie mensual'!HD64)</f>
        <v>5.5557533160000006</v>
      </c>
      <c r="I65" s="142">
        <f>IF($A65="","",'Situfin serie mensual'!HE64)</f>
        <v>3.3087252029999998</v>
      </c>
      <c r="J65" s="142">
        <f>IF($A65="","",'Situfin serie mensual'!HF64)</f>
        <v>0</v>
      </c>
      <c r="K65" s="142">
        <f>IF($A65="","",'Situfin serie mensual'!HG64)</f>
        <v>0</v>
      </c>
      <c r="L65" s="142">
        <f>IF($A65="","",'Situfin serie mensual'!HH64)</f>
        <v>0</v>
      </c>
      <c r="M65" s="142">
        <f>IF($A65="","",'Situfin serie mensual'!HI64)</f>
        <v>0</v>
      </c>
      <c r="N65" s="142">
        <f t="shared" si="1"/>
        <v>25.749797883999996</v>
      </c>
      <c r="O65" s="26"/>
      <c r="P65" s="26"/>
    </row>
    <row r="66" spans="1:18" s="143" customFormat="1" ht="12.75" customHeight="1">
      <c r="A66" s="29" t="s">
        <v>85</v>
      </c>
      <c r="B66" s="142">
        <f>IF($A66="","",'Situfin serie mensual'!GX65)</f>
        <v>3.1030532960000001</v>
      </c>
      <c r="C66" s="142">
        <f>IF($A66="","",'Situfin serie mensual'!GY65)</f>
        <v>2.5322532959999999</v>
      </c>
      <c r="D66" s="142">
        <f>IF($A66="","",'Situfin serie mensual'!GZ65)</f>
        <v>2.6672532959999997</v>
      </c>
      <c r="E66" s="142">
        <f>IF($A66="","",'Situfin serie mensual'!HA65)</f>
        <v>2.0259232959999998</v>
      </c>
      <c r="F66" s="142">
        <f>IF($A66="","",'Situfin serie mensual'!HB65)</f>
        <v>2.4009232959999998</v>
      </c>
      <c r="G66" s="142">
        <f>IF($A66="","",'Situfin serie mensual'!HC65)</f>
        <v>2.8719232959999998</v>
      </c>
      <c r="H66" s="142">
        <f>IF($A66="","",'Situfin serie mensual'!HD65)</f>
        <v>2.5012532959999998</v>
      </c>
      <c r="I66" s="142">
        <f>IF($A66="","",'Situfin serie mensual'!HE65)</f>
        <v>2.4272532959999999</v>
      </c>
      <c r="J66" s="142">
        <f>IF($A66="","",'Situfin serie mensual'!HF65)</f>
        <v>0</v>
      </c>
      <c r="K66" s="142">
        <f>IF($A66="","",'Situfin serie mensual'!HG65)</f>
        <v>0</v>
      </c>
      <c r="L66" s="142">
        <f>IF($A66="","",'Situfin serie mensual'!HH65)</f>
        <v>0</v>
      </c>
      <c r="M66" s="142">
        <f>IF($A66="","",'Situfin serie mensual'!HI65)</f>
        <v>0</v>
      </c>
      <c r="N66" s="142">
        <f t="shared" si="1"/>
        <v>20.529836368000002</v>
      </c>
      <c r="O66" s="26"/>
      <c r="P66" s="26"/>
    </row>
    <row r="67" spans="1:18" s="143" customFormat="1" ht="12.75" customHeight="1">
      <c r="A67" s="29" t="s">
        <v>229</v>
      </c>
      <c r="B67" s="142">
        <f>IF($A67="","",'Situfin serie mensual'!GX66)</f>
        <v>22.478931315000001</v>
      </c>
      <c r="C67" s="142">
        <f>IF($A67="","",'Situfin serie mensual'!GY66)</f>
        <v>27.097564800000001</v>
      </c>
      <c r="D67" s="142">
        <f>IF($A67="","",'Situfin serie mensual'!GZ66)</f>
        <v>46.901405406999999</v>
      </c>
      <c r="E67" s="142">
        <f>IF($A67="","",'Situfin serie mensual'!HA66)</f>
        <v>49.774045143000002</v>
      </c>
      <c r="F67" s="142">
        <f>IF($A67="","",'Situfin serie mensual'!HB66)</f>
        <v>27.054628176999998</v>
      </c>
      <c r="G67" s="142">
        <f>IF($A67="","",'Situfin serie mensual'!HC66)</f>
        <v>29.519857572999999</v>
      </c>
      <c r="H67" s="142">
        <f>IF($A67="","",'Situfin serie mensual'!HD66)</f>
        <v>352.91899396700006</v>
      </c>
      <c r="I67" s="142">
        <f>IF($A67="","",'Situfin serie mensual'!HE66)</f>
        <v>29.875429958000002</v>
      </c>
      <c r="J67" s="142">
        <f>IF($A67="","",'Situfin serie mensual'!HF66)</f>
        <v>0</v>
      </c>
      <c r="K67" s="142">
        <f>IF($A67="","",'Situfin serie mensual'!HG66)</f>
        <v>0</v>
      </c>
      <c r="L67" s="142">
        <f>IF($A67="","",'Situfin serie mensual'!HH66)</f>
        <v>0</v>
      </c>
      <c r="M67" s="142">
        <f>IF($A67="","",'Situfin serie mensual'!HI66)</f>
        <v>0</v>
      </c>
      <c r="N67" s="142">
        <f t="shared" si="1"/>
        <v>585.62085634000005</v>
      </c>
      <c r="O67" s="26"/>
      <c r="P67" s="26"/>
    </row>
    <row r="68" spans="1:18" s="143" customFormat="1" ht="12.75" customHeight="1">
      <c r="A68" s="29" t="s">
        <v>87</v>
      </c>
      <c r="B68" s="142">
        <f>IF($A68="","",'Situfin serie mensual'!GX67)</f>
        <v>22.478931315000001</v>
      </c>
      <c r="C68" s="142">
        <f>IF($A68="","",'Situfin serie mensual'!GY67)</f>
        <v>27.097564800000001</v>
      </c>
      <c r="D68" s="142">
        <f>IF($A68="","",'Situfin serie mensual'!GZ67)</f>
        <v>46.901405406999999</v>
      </c>
      <c r="E68" s="142">
        <f>IF($A68="","",'Situfin serie mensual'!HA67)</f>
        <v>49.774045143000002</v>
      </c>
      <c r="F68" s="142">
        <f>IF($A68="","",'Situfin serie mensual'!HB67)</f>
        <v>27.054628176999998</v>
      </c>
      <c r="G68" s="142">
        <f>IF($A68="","",'Situfin serie mensual'!HC67)</f>
        <v>29.519857572999999</v>
      </c>
      <c r="H68" s="142">
        <f>IF($A68="","",'Situfin serie mensual'!HD67)</f>
        <v>27.486033716000005</v>
      </c>
      <c r="I68" s="142">
        <f>IF($A68="","",'Situfin serie mensual'!HE67)</f>
        <v>29.875429959000002</v>
      </c>
      <c r="J68" s="142">
        <f>IF($A68="","",'Situfin serie mensual'!HF67)</f>
        <v>0</v>
      </c>
      <c r="K68" s="142">
        <f>IF($A68="","",'Situfin serie mensual'!HG67)</f>
        <v>0</v>
      </c>
      <c r="L68" s="142">
        <f>IF($A68="","",'Situfin serie mensual'!HH67)</f>
        <v>0</v>
      </c>
      <c r="M68" s="142">
        <f>IF($A68="","",'Situfin serie mensual'!HI67)</f>
        <v>0</v>
      </c>
      <c r="N68" s="142">
        <f t="shared" si="1"/>
        <v>260.18789608999998</v>
      </c>
      <c r="O68" s="26"/>
      <c r="P68" s="26"/>
    </row>
    <row r="69" spans="1:18" s="143" customFormat="1" ht="12.75" customHeight="1">
      <c r="A69" s="29" t="s">
        <v>88</v>
      </c>
      <c r="B69" s="142">
        <f>IF($A69="","",'Situfin serie mensual'!GX68)</f>
        <v>0</v>
      </c>
      <c r="C69" s="142">
        <f>IF($A69="","",'Situfin serie mensual'!GY68)</f>
        <v>0</v>
      </c>
      <c r="D69" s="142">
        <f>IF($A69="","",'Situfin serie mensual'!GZ68)</f>
        <v>0</v>
      </c>
      <c r="E69" s="142">
        <f>IF($A69="","",'Situfin serie mensual'!HA68)</f>
        <v>0</v>
      </c>
      <c r="F69" s="142">
        <f>IF($A69="","",'Situfin serie mensual'!HB68)</f>
        <v>0</v>
      </c>
      <c r="G69" s="142">
        <f>IF($A69="","",'Situfin serie mensual'!HC68)</f>
        <v>0</v>
      </c>
      <c r="H69" s="142">
        <f>IF($A69="","",'Situfin serie mensual'!HD68)</f>
        <v>0</v>
      </c>
      <c r="I69" s="142">
        <f>IF($A69="","",'Situfin serie mensual'!HE68)</f>
        <v>0</v>
      </c>
      <c r="J69" s="142">
        <f>IF($A69="","",'Situfin serie mensual'!HF68)</f>
        <v>0</v>
      </c>
      <c r="K69" s="142">
        <f>IF($A69="","",'Situfin serie mensual'!HG68)</f>
        <v>0</v>
      </c>
      <c r="L69" s="142">
        <f>IF($A69="","",'Situfin serie mensual'!HH68)</f>
        <v>0</v>
      </c>
      <c r="M69" s="142">
        <f>IF($A69="","",'Situfin serie mensual'!HI68)</f>
        <v>0</v>
      </c>
      <c r="N69" s="142">
        <f t="shared" si="1"/>
        <v>0</v>
      </c>
      <c r="O69" s="26"/>
      <c r="P69" s="26"/>
    </row>
    <row r="70" spans="1:18" s="143" customFormat="1" ht="12.75" customHeight="1">
      <c r="A70" s="29" t="s">
        <v>89</v>
      </c>
      <c r="B70" s="142">
        <f>IF($A70="","",'Situfin serie mensual'!GX69)</f>
        <v>0</v>
      </c>
      <c r="C70" s="142">
        <f>IF($A70="","",'Situfin serie mensual'!GY69)</f>
        <v>0</v>
      </c>
      <c r="D70" s="142">
        <f>IF($A70="","",'Situfin serie mensual'!GZ69)</f>
        <v>0</v>
      </c>
      <c r="E70" s="142">
        <f>IF($A70="","",'Situfin serie mensual'!HA69)</f>
        <v>0</v>
      </c>
      <c r="F70" s="142">
        <f>IF($A70="","",'Situfin serie mensual'!HB69)</f>
        <v>0</v>
      </c>
      <c r="G70" s="142">
        <f>IF($A70="","",'Situfin serie mensual'!HC69)</f>
        <v>0</v>
      </c>
      <c r="H70" s="142">
        <f>IF($A70="","",'Situfin serie mensual'!HD69)</f>
        <v>325.432960251</v>
      </c>
      <c r="I70" s="142">
        <f>IF($A70="","",'Situfin serie mensual'!HE69)</f>
        <v>-9.9999999999999986E-10</v>
      </c>
      <c r="J70" s="142">
        <f>IF($A70="","",'Situfin serie mensual'!HF69)</f>
        <v>0</v>
      </c>
      <c r="K70" s="142">
        <f>IF($A70="","",'Situfin serie mensual'!HG69)</f>
        <v>0</v>
      </c>
      <c r="L70" s="142">
        <f>IF($A70="","",'Situfin serie mensual'!HH69)</f>
        <v>0</v>
      </c>
      <c r="M70" s="142">
        <f>IF($A70="","",'Situfin serie mensual'!HI69)</f>
        <v>0</v>
      </c>
      <c r="N70" s="142">
        <f t="shared" si="1"/>
        <v>325.43296025000001</v>
      </c>
      <c r="O70" s="26"/>
      <c r="P70" s="26"/>
    </row>
    <row r="71" spans="1:18" s="143" customFormat="1" ht="7.5" customHeight="1">
      <c r="A71" s="29"/>
      <c r="B71" s="142" t="str">
        <f>IF($A71="","",'Situfin serie mensual'!GX70)</f>
        <v/>
      </c>
      <c r="C71" s="142" t="str">
        <f>IF($A71="","",'Situfin serie mensual'!GY70)</f>
        <v/>
      </c>
      <c r="D71" s="142" t="str">
        <f>IF($A71="","",'Situfin serie mensual'!GZ70)</f>
        <v/>
      </c>
      <c r="E71" s="142" t="str">
        <f>IF($A71="","",'Situfin serie mensual'!HA70)</f>
        <v/>
      </c>
      <c r="F71" s="142" t="str">
        <f>IF($A71="","",'Situfin serie mensual'!HB70)</f>
        <v/>
      </c>
      <c r="G71" s="142" t="str">
        <f>IF($A71="","",'Situfin serie mensual'!HC70)</f>
        <v/>
      </c>
      <c r="H71" s="142" t="str">
        <f>IF($A71="","",'Situfin serie mensual'!HD70)</f>
        <v/>
      </c>
      <c r="I71" s="142" t="str">
        <f>IF($A71="","",'Situfin serie mensual'!HE70)</f>
        <v/>
      </c>
      <c r="J71" s="142" t="str">
        <f>IF($A71="","",'Situfin serie mensual'!HF70)</f>
        <v/>
      </c>
      <c r="K71" s="142" t="str">
        <f>IF($A71="","",'Situfin serie mensual'!HG70)</f>
        <v/>
      </c>
      <c r="L71" s="142" t="str">
        <f>IF($A71="","",'Situfin serie mensual'!HH70)</f>
        <v/>
      </c>
      <c r="M71" s="142" t="str">
        <f>IF($A71="","",'Situfin serie mensual'!HI70)</f>
        <v/>
      </c>
      <c r="N71" s="142"/>
      <c r="O71" s="26"/>
      <c r="P71" s="26"/>
    </row>
    <row r="72" spans="1:18" s="143" customFormat="1" ht="13.5">
      <c r="A72" s="150" t="s">
        <v>90</v>
      </c>
      <c r="B72" s="151">
        <f>IF($A72="","",'Situfin serie mensual'!GX71)</f>
        <v>122.85454824699991</v>
      </c>
      <c r="C72" s="151">
        <f>IF($A72="","",'Situfin serie mensual'!GY71)</f>
        <v>93.400280959000611</v>
      </c>
      <c r="D72" s="151">
        <f>IF($A72="","",'Situfin serie mensual'!GZ71)</f>
        <v>-496.41882633700016</v>
      </c>
      <c r="E72" s="151">
        <f>IF($A72="","",'Situfin serie mensual'!HA71)</f>
        <v>-1734.4812734090006</v>
      </c>
      <c r="F72" s="151">
        <f>IF($A72="","",'Situfin serie mensual'!HB71)</f>
        <v>-664.55776934599999</v>
      </c>
      <c r="G72" s="151">
        <f>IF($A72="","",'Situfin serie mensual'!HC71)</f>
        <v>-214.7344359119993</v>
      </c>
      <c r="H72" s="151">
        <f>IF($A72="","",'Situfin serie mensual'!HD71)</f>
        <v>-281.75379703399949</v>
      </c>
      <c r="I72" s="151">
        <f>IF($A72="","",'Situfin serie mensual'!HE71)</f>
        <v>-275.05882917199961</v>
      </c>
      <c r="J72" s="151">
        <f>IF($A72="","",'Situfin serie mensual'!HF71)</f>
        <v>0</v>
      </c>
      <c r="K72" s="151">
        <f>IF($A72="","",'Situfin serie mensual'!HG71)</f>
        <v>0</v>
      </c>
      <c r="L72" s="151">
        <f>IF($A72="","",'Situfin serie mensual'!HH71)</f>
        <v>0</v>
      </c>
      <c r="M72" s="151">
        <f>IF($A72="","",'Situfin serie mensual'!HI71)</f>
        <v>0</v>
      </c>
      <c r="N72" s="151">
        <f>+SUM(B72:M72)</f>
        <v>-3450.7501020039986</v>
      </c>
      <c r="O72" s="26"/>
      <c r="P72" s="26"/>
    </row>
    <row r="73" spans="1:18" s="143" customFormat="1" ht="7.5" customHeight="1">
      <c r="A73" s="137"/>
      <c r="B73" s="140" t="str">
        <f>IF($A73="","",'Situfin serie mensual'!GX72)</f>
        <v/>
      </c>
      <c r="C73" s="140" t="str">
        <f>IF($A73="","",'Situfin serie mensual'!GY72)</f>
        <v/>
      </c>
      <c r="D73" s="140" t="str">
        <f>IF($A73="","",'Situfin serie mensual'!GZ72)</f>
        <v/>
      </c>
      <c r="E73" s="140" t="str">
        <f>IF($A73="","",'Situfin serie mensual'!HA72)</f>
        <v/>
      </c>
      <c r="F73" s="140" t="str">
        <f>IF($A73="","",'Situfin serie mensual'!HB72)</f>
        <v/>
      </c>
      <c r="G73" s="140" t="str">
        <f>IF($A73="","",'Situfin serie mensual'!HC72)</f>
        <v/>
      </c>
      <c r="H73" s="140" t="str">
        <f>IF($A73="","",'Situfin serie mensual'!HD72)</f>
        <v/>
      </c>
      <c r="I73" s="140" t="str">
        <f>IF($A73="","",'Situfin serie mensual'!HE72)</f>
        <v/>
      </c>
      <c r="J73" s="140" t="str">
        <f>IF($A73="","",'Situfin serie mensual'!HF72)</f>
        <v/>
      </c>
      <c r="K73" s="140" t="str">
        <f>IF($A73="","",'Situfin serie mensual'!HG72)</f>
        <v/>
      </c>
      <c r="L73" s="140" t="str">
        <f>IF($A73="","",'Situfin serie mensual'!HH72)</f>
        <v/>
      </c>
      <c r="M73" s="140" t="str">
        <f>IF($A73="","",'Situfin serie mensual'!HI72)</f>
        <v/>
      </c>
      <c r="N73" s="146"/>
      <c r="O73" s="26"/>
      <c r="P73" s="26"/>
    </row>
    <row r="74" spans="1:18" s="26" customFormat="1" ht="6.75" customHeight="1">
      <c r="A74" s="137"/>
      <c r="B74" s="146" t="str">
        <f>IF($A74="","",'Situfin serie mensual'!GX73)</f>
        <v/>
      </c>
      <c r="C74" s="146" t="str">
        <f>IF($A74="","",'Situfin serie mensual'!GY73)</f>
        <v/>
      </c>
      <c r="D74" s="146" t="str">
        <f>IF($A74="","",'Situfin serie mensual'!GZ73)</f>
        <v/>
      </c>
      <c r="E74" s="146" t="str">
        <f>IF($A74="","",'Situfin serie mensual'!HA73)</f>
        <v/>
      </c>
      <c r="F74" s="146" t="str">
        <f>IF($A74="","",'Situfin serie mensual'!HB73)</f>
        <v/>
      </c>
      <c r="G74" s="146" t="str">
        <f>IF($A74="","",'Situfin serie mensual'!HC73)</f>
        <v/>
      </c>
      <c r="H74" s="146" t="str">
        <f>IF($A74="","",'Situfin serie mensual'!HD73)</f>
        <v/>
      </c>
      <c r="I74" s="146" t="str">
        <f>IF($A74="","",'Situfin serie mensual'!HE73)</f>
        <v/>
      </c>
      <c r="J74" s="146" t="str">
        <f>IF($A74="","",'Situfin serie mensual'!HF73)</f>
        <v/>
      </c>
      <c r="K74" s="146" t="str">
        <f>IF($A74="","",'Situfin serie mensual'!HG73)</f>
        <v/>
      </c>
      <c r="L74" s="146" t="str">
        <f>IF($A74="","",'Situfin serie mensual'!HH73)</f>
        <v/>
      </c>
      <c r="M74" s="146" t="str">
        <f>IF($A74="","",'Situfin serie mensual'!HI73)</f>
        <v/>
      </c>
      <c r="N74" s="146"/>
      <c r="Q74" s="181"/>
      <c r="R74" s="181"/>
    </row>
    <row r="75" spans="1:18" s="32" customFormat="1" ht="12.75" outlineLevel="2">
      <c r="A75" s="26" t="s">
        <v>91</v>
      </c>
      <c r="B75" s="140">
        <f>IF($A75="","",'Situfin serie mensual'!GX74)</f>
        <v>192.15273772799995</v>
      </c>
      <c r="C75" s="140">
        <f>IF($A75="","",'Situfin serie mensual'!GY74)</f>
        <v>329.84726874999996</v>
      </c>
      <c r="D75" s="140">
        <f>IF($A75="","",'Situfin serie mensual'!GZ74)</f>
        <v>1087.0036912142689</v>
      </c>
      <c r="E75" s="140">
        <f>IF($A75="","",'Situfin serie mensual'!HA74)</f>
        <v>625.24383709500023</v>
      </c>
      <c r="F75" s="140">
        <f>IF($A75="","",'Situfin serie mensual'!HB74)</f>
        <v>533.10587041300005</v>
      </c>
      <c r="G75" s="140">
        <f>IF($A75="","",'Situfin serie mensual'!HC74)</f>
        <v>634.01283350099993</v>
      </c>
      <c r="H75" s="140">
        <f>IF($A75="","",'Situfin serie mensual'!HD74)</f>
        <v>715.00596093059812</v>
      </c>
      <c r="I75" s="140">
        <f>IF($A75="","",'Situfin serie mensual'!HE74)</f>
        <v>474.89873150799997</v>
      </c>
      <c r="J75" s="140">
        <f>IF($A75="","",'Situfin serie mensual'!HF74)</f>
        <v>0</v>
      </c>
      <c r="K75" s="140">
        <f>IF($A75="","",'Situfin serie mensual'!HG74)</f>
        <v>0</v>
      </c>
      <c r="L75" s="140">
        <f>IF($A75="","",'Situfin serie mensual'!HH74)</f>
        <v>0</v>
      </c>
      <c r="M75" s="140">
        <f>IF($A75="","",'Situfin serie mensual'!HI74)</f>
        <v>0</v>
      </c>
      <c r="N75" s="140">
        <f>+SUM(B75:M75)</f>
        <v>4591.2709311398676</v>
      </c>
      <c r="O75" s="26"/>
      <c r="P75" s="26"/>
    </row>
    <row r="76" spans="1:18" s="143" customFormat="1" ht="12.75">
      <c r="A76" s="29" t="s">
        <v>92</v>
      </c>
      <c r="B76" s="142">
        <f>IF($A76="","",'Situfin serie mensual'!GX75)</f>
        <v>184.45806172799996</v>
      </c>
      <c r="C76" s="142">
        <f>IF($A76="","",'Situfin serie mensual'!GY75)</f>
        <v>323.66625989699997</v>
      </c>
      <c r="D76" s="142">
        <f>IF($A76="","",'Situfin serie mensual'!GZ75)</f>
        <v>745.78827330299987</v>
      </c>
      <c r="E76" s="142">
        <f>IF($A76="","",'Situfin serie mensual'!HA75)</f>
        <v>616.5801459180002</v>
      </c>
      <c r="F76" s="142">
        <f>IF($A76="","",'Situfin serie mensual'!HB75)</f>
        <v>531.32989416200007</v>
      </c>
      <c r="G76" s="142">
        <f>IF($A76="","",'Situfin serie mensual'!HC75)</f>
        <v>628.71745793999992</v>
      </c>
      <c r="H76" s="142">
        <f>IF($A76="","",'Situfin serie mensual'!HD75)</f>
        <v>411.97029782300007</v>
      </c>
      <c r="I76" s="142">
        <f>IF($A76="","",'Situfin serie mensual'!HE75)</f>
        <v>472.35451294299997</v>
      </c>
      <c r="J76" s="142">
        <f>IF($A76="","",'Situfin serie mensual'!HF75)</f>
        <v>0</v>
      </c>
      <c r="K76" s="142">
        <f>IF($A76="","",'Situfin serie mensual'!HG75)</f>
        <v>0</v>
      </c>
      <c r="L76" s="142">
        <f>IF($A76="","",'Situfin serie mensual'!HH75)</f>
        <v>0</v>
      </c>
      <c r="M76" s="142">
        <f>IF($A76="","",'Situfin serie mensual'!HI75)</f>
        <v>0</v>
      </c>
      <c r="N76" s="142">
        <f>+SUM(B76:M76)</f>
        <v>3914.8649037140003</v>
      </c>
      <c r="O76" s="26"/>
      <c r="P76" s="26"/>
      <c r="Q76" s="182"/>
      <c r="R76" s="182"/>
    </row>
    <row r="77" spans="1:18" s="143" customFormat="1" ht="12.75">
      <c r="A77" s="29" t="s">
        <v>93</v>
      </c>
      <c r="B77" s="142">
        <f>IF($A77="","",'Situfin serie mensual'!GX76)</f>
        <v>7.6946760000000003</v>
      </c>
      <c r="C77" s="142">
        <f>IF($A77="","",'Situfin serie mensual'!GY76)</f>
        <v>6.1810088530000007</v>
      </c>
      <c r="D77" s="142">
        <f>IF($A77="","",'Situfin serie mensual'!GZ76)</f>
        <v>1.2058228309999999</v>
      </c>
      <c r="E77" s="142">
        <f>IF($A77="","",'Situfin serie mensual'!HA76)</f>
        <v>8.6636911770000005</v>
      </c>
      <c r="F77" s="142">
        <f>IF($A77="","",'Situfin serie mensual'!HB76)</f>
        <v>1.7759762510000001</v>
      </c>
      <c r="G77" s="142">
        <f>IF($A77="","",'Situfin serie mensual'!HC76)</f>
        <v>5.2953755610000002</v>
      </c>
      <c r="H77" s="142">
        <f>IF($A77="","",'Situfin serie mensual'!HD76)</f>
        <v>0.60692312700000006</v>
      </c>
      <c r="I77" s="142">
        <f>IF($A77="","",'Situfin serie mensual'!HE76)</f>
        <v>2.544218565</v>
      </c>
      <c r="J77" s="142">
        <f>IF($A77="","",'Situfin serie mensual'!HF76)</f>
        <v>0</v>
      </c>
      <c r="K77" s="142">
        <f>IF($A77="","",'Situfin serie mensual'!HG76)</f>
        <v>0</v>
      </c>
      <c r="L77" s="142">
        <f>IF($A77="","",'Situfin serie mensual'!HH76)</f>
        <v>0</v>
      </c>
      <c r="M77" s="142">
        <f>IF($A77="","",'Situfin serie mensual'!HI76)</f>
        <v>0</v>
      </c>
      <c r="N77" s="142">
        <f>+SUM(B77:M77)</f>
        <v>33.967692365000005</v>
      </c>
      <c r="O77" s="26"/>
      <c r="P77" s="26"/>
      <c r="Q77" s="156"/>
      <c r="R77" s="156"/>
    </row>
    <row r="78" spans="1:18" s="143" customFormat="1" ht="17.25" customHeight="1">
      <c r="A78" s="29" t="s">
        <v>208</v>
      </c>
      <c r="B78" s="142">
        <f>IF($A78="","",'Situfin serie mensual'!GX77)</f>
        <v>0</v>
      </c>
      <c r="C78" s="142">
        <f>IF($A78="","",'Situfin serie mensual'!GY77)</f>
        <v>0</v>
      </c>
      <c r="D78" s="142">
        <f>IF($A78="","",'Situfin serie mensual'!GZ77)</f>
        <v>340.00959508026898</v>
      </c>
      <c r="E78" s="142">
        <f>IF($A78="","",'Situfin serie mensual'!HA77)</f>
        <v>0</v>
      </c>
      <c r="F78" s="142">
        <f>IF($A78="","",'Situfin serie mensual'!HB77)</f>
        <v>0</v>
      </c>
      <c r="G78" s="142">
        <f>IF($A78="","",'Situfin serie mensual'!HC77)</f>
        <v>0</v>
      </c>
      <c r="H78" s="142">
        <f>IF($A78="","",'Situfin serie mensual'!HD77)</f>
        <v>302.42873998059798</v>
      </c>
      <c r="I78" s="142">
        <f>IF($A78="","",'Situfin serie mensual'!HE77)</f>
        <v>0</v>
      </c>
      <c r="J78" s="142">
        <f>IF($A78="","",'Situfin serie mensual'!HF77)</f>
        <v>0</v>
      </c>
      <c r="K78" s="142">
        <f>IF($A78="","",'Situfin serie mensual'!HG77)</f>
        <v>0</v>
      </c>
      <c r="L78" s="142">
        <f>IF($A78="","",'Situfin serie mensual'!HH77)</f>
        <v>0</v>
      </c>
      <c r="M78" s="142">
        <f>IF($A78="","",'Situfin serie mensual'!HI77)</f>
        <v>0</v>
      </c>
      <c r="N78" s="142">
        <f>+SUM(B78:M78)</f>
        <v>642.43833506086696</v>
      </c>
      <c r="O78" s="26"/>
      <c r="P78" s="26"/>
      <c r="Q78" s="182"/>
      <c r="R78" s="182"/>
    </row>
    <row r="79" spans="1:18" s="143" customFormat="1" ht="13.5">
      <c r="A79" s="183" t="s">
        <v>95</v>
      </c>
      <c r="B79" s="157">
        <f>IF($A79="","",'Situfin serie mensual'!GX78)</f>
        <v>-69.298189481000037</v>
      </c>
      <c r="C79" s="157">
        <f>IF($A79="","",'Situfin serie mensual'!GY78)</f>
        <v>-236.44698779099934</v>
      </c>
      <c r="D79" s="157">
        <f>IF($A79="","",'Situfin serie mensual'!GZ78)</f>
        <v>-1583.422517551269</v>
      </c>
      <c r="E79" s="157">
        <f>IF($A79="","",'Situfin serie mensual'!HA78)</f>
        <v>-2359.7251105040009</v>
      </c>
      <c r="F79" s="157">
        <f>IF($A79="","",'Situfin serie mensual'!HB78)</f>
        <v>-1197.663639759</v>
      </c>
      <c r="G79" s="157">
        <f>IF($A79="","",'Situfin serie mensual'!HC78)</f>
        <v>-848.74726941299923</v>
      </c>
      <c r="H79" s="157">
        <f>IF($A79="","",'Situfin serie mensual'!HD78)</f>
        <v>-996.75975796459761</v>
      </c>
      <c r="I79" s="157">
        <f>IF($A79="","",'Situfin serie mensual'!HE78)</f>
        <v>-749.95756067999957</v>
      </c>
      <c r="J79" s="157">
        <f>IF($A79="","",'Situfin serie mensual'!HF78)</f>
        <v>0</v>
      </c>
      <c r="K79" s="157">
        <f>IF($A79="","",'Situfin serie mensual'!HG78)</f>
        <v>0</v>
      </c>
      <c r="L79" s="157">
        <f>IF($A79="","",'Situfin serie mensual'!HH78)</f>
        <v>0</v>
      </c>
      <c r="M79" s="157">
        <f>IF($A79="","",'Situfin serie mensual'!HI78)</f>
        <v>0</v>
      </c>
      <c r="N79" s="157">
        <f>+SUM(B79:M79)</f>
        <v>-8042.0210331438657</v>
      </c>
      <c r="O79" s="184"/>
      <c r="P79" s="26"/>
      <c r="Q79" s="26"/>
    </row>
    <row r="80" spans="1:18" s="143" customFormat="1" ht="5.25" customHeight="1">
      <c r="A80" s="29"/>
      <c r="B80" s="142" t="str">
        <f>IF($A80="","",'Situfin serie mensual'!GX79)</f>
        <v/>
      </c>
      <c r="C80" s="142" t="str">
        <f>IF($A80="","",'Situfin serie mensual'!GY79)</f>
        <v/>
      </c>
      <c r="D80" s="142" t="str">
        <f>IF($A80="","",'Situfin serie mensual'!GZ79)</f>
        <v/>
      </c>
      <c r="E80" s="142" t="str">
        <f>IF($A80="","",'Situfin serie mensual'!HA79)</f>
        <v/>
      </c>
      <c r="F80" s="142" t="str">
        <f>IF($A80="","",'Situfin serie mensual'!HB79)</f>
        <v/>
      </c>
      <c r="G80" s="142" t="str">
        <f>IF($A80="","",'Situfin serie mensual'!HC79)</f>
        <v/>
      </c>
      <c r="H80" s="142" t="str">
        <f>IF($A80="","",'Situfin serie mensual'!HD79)</f>
        <v/>
      </c>
      <c r="I80" s="142" t="str">
        <f>IF($A80="","",'Situfin serie mensual'!HE79)</f>
        <v/>
      </c>
      <c r="J80" s="142" t="str">
        <f>IF($A80="","",'Situfin serie mensual'!HF79)</f>
        <v/>
      </c>
      <c r="K80" s="142" t="str">
        <f>IF($A80="","",'Situfin serie mensual'!HG79)</f>
        <v/>
      </c>
      <c r="L80" s="142" t="str">
        <f>IF($A80="","",'Situfin serie mensual'!HH79)</f>
        <v/>
      </c>
      <c r="M80" s="142" t="str">
        <f>IF($A80="","",'Situfin serie mensual'!HI79)</f>
        <v/>
      </c>
      <c r="N80" s="142"/>
      <c r="O80" s="26"/>
      <c r="P80" s="26"/>
    </row>
    <row r="81" spans="1:16" s="143" customFormat="1" ht="12.75">
      <c r="A81" s="185" t="s">
        <v>209</v>
      </c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60"/>
      <c r="O81" s="26"/>
      <c r="P81" s="26"/>
    </row>
    <row r="82" spans="1:16" s="143" customFormat="1" ht="10.5" customHeight="1">
      <c r="A82" s="26"/>
      <c r="B82" s="142" t="str">
        <f>IF($A82="","",'Situfin serie mensual'!GX81)</f>
        <v/>
      </c>
      <c r="C82" s="142" t="str">
        <f>IF($A82="","",'Situfin serie mensual'!GY81)</f>
        <v/>
      </c>
      <c r="D82" s="142" t="str">
        <f>IF($A82="","",'Situfin serie mensual'!GZ81)</f>
        <v/>
      </c>
      <c r="E82" s="142" t="str">
        <f>IF($A82="","",'Situfin serie mensual'!HA81)</f>
        <v/>
      </c>
      <c r="F82" s="142" t="str">
        <f>IF($A82="","",'Situfin serie mensual'!HB81)</f>
        <v/>
      </c>
      <c r="G82" s="142" t="str">
        <f>IF($A82="","",'Situfin serie mensual'!HC81)</f>
        <v/>
      </c>
      <c r="H82" s="142" t="str">
        <f>IF($A82="","",'Situfin serie mensual'!HD81)</f>
        <v/>
      </c>
      <c r="I82" s="142" t="str">
        <f>IF($A82="","",'Situfin serie mensual'!HE81)</f>
        <v/>
      </c>
      <c r="J82" s="142" t="str">
        <f>IF($A82="","",'Situfin serie mensual'!HF81)</f>
        <v/>
      </c>
      <c r="K82" s="142" t="str">
        <f>IF($A82="","",'Situfin serie mensual'!HG81)</f>
        <v/>
      </c>
      <c r="L82" s="142" t="str">
        <f>IF($A82="","",'Situfin serie mensual'!HH81)</f>
        <v/>
      </c>
      <c r="M82" s="142" t="str">
        <f>IF($A82="","",'Situfin serie mensual'!HI81)</f>
        <v/>
      </c>
      <c r="N82" s="140"/>
      <c r="O82" s="26"/>
      <c r="P82" s="26"/>
    </row>
    <row r="83" spans="1:16" s="32" customFormat="1" ht="12.75" outlineLevel="2">
      <c r="A83" s="26" t="s">
        <v>96</v>
      </c>
      <c r="B83" s="140">
        <f>IF($A83="","",'Situfin serie mensual'!GX82)</f>
        <v>3265.1092217005939</v>
      </c>
      <c r="C83" s="140">
        <f>IF($A83="","",'Situfin serie mensual'!GY82)</f>
        <v>332.63781257375592</v>
      </c>
      <c r="D83" s="140">
        <f>IF($A83="","",'Situfin serie mensual'!GZ82)</f>
        <v>2747.2876135053912</v>
      </c>
      <c r="E83" s="140">
        <f>IF($A83="","",'Situfin serie mensual'!HA82)</f>
        <v>5780.6440161487126</v>
      </c>
      <c r="F83" s="140">
        <f>IF($A83="","",'Situfin serie mensual'!HB82)</f>
        <v>-1472.5118649612907</v>
      </c>
      <c r="G83" s="140">
        <f>IF($A83="","",'Situfin serie mensual'!HC82)</f>
        <v>-566.98698193820314</v>
      </c>
      <c r="H83" s="140">
        <f>IF($A83="","",'Situfin serie mensual'!HD82)</f>
        <v>-1617.8525709465098</v>
      </c>
      <c r="I83" s="140">
        <f>IF($A83="","",'Situfin serie mensual'!HE82)</f>
        <v>5.7484226850000013</v>
      </c>
      <c r="J83" s="140">
        <f>IF($A83="","",'Situfin serie mensual'!HF82)</f>
        <v>0</v>
      </c>
      <c r="K83" s="140">
        <f>IF($A83="","",'Situfin serie mensual'!HG82)</f>
        <v>0</v>
      </c>
      <c r="L83" s="140">
        <f>IF($A83="","",'Situfin serie mensual'!HH82)</f>
        <v>0</v>
      </c>
      <c r="M83" s="140">
        <f>IF($A83="","",'Situfin serie mensual'!HI82)</f>
        <v>0</v>
      </c>
      <c r="N83" s="140">
        <f>+SUM(B83:M83)</f>
        <v>8474.0756687674493</v>
      </c>
      <c r="O83" s="26"/>
      <c r="P83" s="26"/>
    </row>
    <row r="84" spans="1:16" s="143" customFormat="1" ht="12.75">
      <c r="A84" s="29" t="s">
        <v>97</v>
      </c>
      <c r="B84" s="142">
        <f>IF($A84="","",'Situfin serie mensual'!GX83)</f>
        <v>3265.1092217005939</v>
      </c>
      <c r="C84" s="142">
        <f>IF($A84="","",'Situfin serie mensual'!GY83)</f>
        <v>332.63781257375592</v>
      </c>
      <c r="D84" s="142">
        <f>IF($A84="","",'Situfin serie mensual'!GZ83)</f>
        <v>2747.2876135053912</v>
      </c>
      <c r="E84" s="142">
        <f>IF($A84="","",'Situfin serie mensual'!HA83)</f>
        <v>5780.6440161487126</v>
      </c>
      <c r="F84" s="142">
        <f>IF($A84="","",'Situfin serie mensual'!HB83)</f>
        <v>-1472.5118649612907</v>
      </c>
      <c r="G84" s="142">
        <f>IF($A84="","",'Situfin serie mensual'!HC83)</f>
        <v>-566.98698193820314</v>
      </c>
      <c r="H84" s="142">
        <f>IF($A84="","",'Situfin serie mensual'!HD83)</f>
        <v>-1617.8525709465098</v>
      </c>
      <c r="I84" s="142">
        <f>IF($A84="","",'Situfin serie mensual'!HE83)</f>
        <v>5.7484226850000013</v>
      </c>
      <c r="J84" s="142">
        <f>IF($A84="","",'Situfin serie mensual'!HF83)</f>
        <v>0</v>
      </c>
      <c r="K84" s="142">
        <f>IF($A84="","",'Situfin serie mensual'!HG83)</f>
        <v>0</v>
      </c>
      <c r="L84" s="142">
        <f>IF($A84="","",'Situfin serie mensual'!HH83)</f>
        <v>0</v>
      </c>
      <c r="M84" s="142">
        <f>IF($A84="","",'Situfin serie mensual'!HI83)</f>
        <v>0</v>
      </c>
      <c r="N84" s="142">
        <f t="shared" ref="N84:N95" si="2">+SUM(B84:M84)</f>
        <v>8474.0756687674493</v>
      </c>
      <c r="O84" s="26"/>
      <c r="P84" s="26"/>
    </row>
    <row r="85" spans="1:16" s="143" customFormat="1" ht="12.75">
      <c r="A85" s="29" t="s">
        <v>98</v>
      </c>
      <c r="B85" s="142">
        <f>IF($A85="","",'Situfin serie mensual'!GX84)</f>
        <v>0</v>
      </c>
      <c r="C85" s="142">
        <f>IF($A85="","",'Situfin serie mensual'!GY84)</f>
        <v>0</v>
      </c>
      <c r="D85" s="142">
        <f>IF($A85="","",'Situfin serie mensual'!GZ84)</f>
        <v>0</v>
      </c>
      <c r="E85" s="142">
        <f>IF($A85="","",'Situfin serie mensual'!HA84)</f>
        <v>0</v>
      </c>
      <c r="F85" s="142">
        <f>IF($A85="","",'Situfin serie mensual'!HB84)</f>
        <v>0</v>
      </c>
      <c r="G85" s="142">
        <f>IF($A85="","",'Situfin serie mensual'!HC84)</f>
        <v>0</v>
      </c>
      <c r="H85" s="142">
        <f>IF($A85="","",'Situfin serie mensual'!HD84)</f>
        <v>0</v>
      </c>
      <c r="I85" s="142">
        <f>IF($A85="","",'Situfin serie mensual'!HE84)</f>
        <v>0</v>
      </c>
      <c r="J85" s="142">
        <f>IF($A85="","",'Situfin serie mensual'!HF84)</f>
        <v>0</v>
      </c>
      <c r="K85" s="142">
        <f>IF($A85="","",'Situfin serie mensual'!HG84)</f>
        <v>0</v>
      </c>
      <c r="L85" s="142">
        <f>IF($A85="","",'Situfin serie mensual'!HH84)</f>
        <v>0</v>
      </c>
      <c r="M85" s="142">
        <f>IF($A85="","",'Situfin serie mensual'!HI84)</f>
        <v>0</v>
      </c>
      <c r="N85" s="142">
        <f t="shared" si="2"/>
        <v>0</v>
      </c>
      <c r="O85" s="26"/>
      <c r="P85" s="26"/>
    </row>
    <row r="86" spans="1:16" s="32" customFormat="1" ht="12.75" outlineLevel="2">
      <c r="A86" s="26" t="s">
        <v>99</v>
      </c>
      <c r="B86" s="140">
        <f>IF($A86="","",'Situfin serie mensual'!GX85)</f>
        <v>4295.0021391460004</v>
      </c>
      <c r="C86" s="140">
        <f>IF($A86="","",'Situfin serie mensual'!GY85)</f>
        <v>744.30490440200003</v>
      </c>
      <c r="D86" s="140">
        <f>IF($A86="","",'Situfin serie mensual'!GZ85)</f>
        <v>3843.2346266222689</v>
      </c>
      <c r="E86" s="140">
        <f>IF($A86="","",'Situfin serie mensual'!HA85)</f>
        <v>3277.7335404629998</v>
      </c>
      <c r="F86" s="140">
        <f>IF($A86="","",'Situfin serie mensual'!HB85)</f>
        <v>826.15425645799996</v>
      </c>
      <c r="G86" s="140">
        <f>IF($A86="","",'Situfin serie mensual'!HC85)</f>
        <v>12.850689056999983</v>
      </c>
      <c r="H86" s="140">
        <f>IF($A86="","",'Situfin serie mensual'!HD85)</f>
        <v>673.50562951659799</v>
      </c>
      <c r="I86" s="140">
        <f>IF($A86="","",'Situfin serie mensual'!HE85)</f>
        <v>-129.63290562699999</v>
      </c>
      <c r="J86" s="140">
        <f>IF($A86="","",'Situfin serie mensual'!HF85)</f>
        <v>0</v>
      </c>
      <c r="K86" s="140">
        <f>IF($A86="","",'Situfin serie mensual'!HG85)</f>
        <v>0</v>
      </c>
      <c r="L86" s="140">
        <f>IF($A86="","",'Situfin serie mensual'!HH85)</f>
        <v>0</v>
      </c>
      <c r="M86" s="140">
        <f>IF($A86="","",'Situfin serie mensual'!HI85)</f>
        <v>0</v>
      </c>
      <c r="N86" s="140">
        <f t="shared" si="2"/>
        <v>13543.152880037866</v>
      </c>
      <c r="O86" s="26"/>
      <c r="P86" s="26"/>
    </row>
    <row r="87" spans="1:16" s="143" customFormat="1" ht="12.75">
      <c r="A87" s="29" t="s">
        <v>97</v>
      </c>
      <c r="B87" s="142">
        <f>IF($A87="","",'Situfin serie mensual'!GX86)</f>
        <v>878.87078529499979</v>
      </c>
      <c r="C87" s="142">
        <f>IF($A87="","",'Situfin serie mensual'!GY86)</f>
        <v>-199.69966118699995</v>
      </c>
      <c r="D87" s="142">
        <f>IF($A87="","",'Situfin serie mensual'!GZ86)</f>
        <v>3891.5630476390002</v>
      </c>
      <c r="E87" s="142">
        <f>IF($A87="","",'Situfin serie mensual'!HA86)</f>
        <v>-3959.8673090810003</v>
      </c>
      <c r="F87" s="142">
        <f>IF($A87="","",'Situfin serie mensual'!HB86)</f>
        <v>-447.61397596799998</v>
      </c>
      <c r="G87" s="142">
        <f>IF($A87="","",'Situfin serie mensual'!HC86)</f>
        <v>-152.41159611700002</v>
      </c>
      <c r="H87" s="142">
        <f>IF($A87="","",'Situfin serie mensual'!HD86)</f>
        <v>147.76389956200001</v>
      </c>
      <c r="I87" s="142">
        <f>IF($A87="","",'Situfin serie mensual'!HE86)</f>
        <v>-243.13881830499997</v>
      </c>
      <c r="J87" s="142">
        <f>IF($A87="","",'Situfin serie mensual'!HF86)</f>
        <v>0</v>
      </c>
      <c r="K87" s="142">
        <f>IF($A87="","",'Situfin serie mensual'!HG86)</f>
        <v>0</v>
      </c>
      <c r="L87" s="142">
        <f>IF($A87="","",'Situfin serie mensual'!HH86)</f>
        <v>0</v>
      </c>
      <c r="M87" s="142">
        <f>IF($A87="","",'Situfin serie mensual'!HI86)</f>
        <v>0</v>
      </c>
      <c r="N87" s="142">
        <f t="shared" si="2"/>
        <v>-84.533628162000326</v>
      </c>
      <c r="O87" s="26"/>
      <c r="P87" s="26"/>
    </row>
    <row r="88" spans="1:16" s="143" customFormat="1" ht="12.75">
      <c r="A88" s="29" t="s">
        <v>98</v>
      </c>
      <c r="B88" s="142">
        <f>IF($A88="","",'Situfin serie mensual'!GX87)</f>
        <v>3416.1313538510003</v>
      </c>
      <c r="C88" s="142">
        <f>IF($A88="","",'Situfin serie mensual'!GY87)</f>
        <v>944.00456558899998</v>
      </c>
      <c r="D88" s="142">
        <f>IF($A88="","",'Situfin serie mensual'!GZ87)</f>
        <v>-48.328421016731014</v>
      </c>
      <c r="E88" s="142">
        <f>IF($A88="","",'Situfin serie mensual'!HA87)</f>
        <v>7237.6008495440001</v>
      </c>
      <c r="F88" s="142">
        <f>IF($A88="","",'Situfin serie mensual'!HB87)</f>
        <v>1273.7682324259999</v>
      </c>
      <c r="G88" s="142">
        <f>IF($A88="","",'Situfin serie mensual'!HC87)</f>
        <v>165.262285174</v>
      </c>
      <c r="H88" s="142">
        <f>IF($A88="","",'Situfin serie mensual'!HD87)</f>
        <v>525.74172995459799</v>
      </c>
      <c r="I88" s="142">
        <f>IF($A88="","",'Situfin serie mensual'!HE87)</f>
        <v>113.50591267799999</v>
      </c>
      <c r="J88" s="142">
        <f>IF($A88="","",'Situfin serie mensual'!HF87)</f>
        <v>0</v>
      </c>
      <c r="K88" s="142">
        <f>IF($A88="","",'Situfin serie mensual'!HG87)</f>
        <v>0</v>
      </c>
      <c r="L88" s="142">
        <f>IF($A88="","",'Situfin serie mensual'!HH87)</f>
        <v>0</v>
      </c>
      <c r="M88" s="142">
        <f>IF($A88="","",'Situfin serie mensual'!HI87)</f>
        <v>0</v>
      </c>
      <c r="N88" s="142">
        <f t="shared" si="2"/>
        <v>13627.686508199868</v>
      </c>
      <c r="O88" s="26"/>
      <c r="P88" s="26"/>
    </row>
    <row r="89" spans="1:16" s="143" customFormat="1" ht="6" customHeight="1">
      <c r="A89" s="29"/>
      <c r="B89" s="142" t="str">
        <f>IF($A89="","",'Situfin serie mensual'!GX88)</f>
        <v/>
      </c>
      <c r="C89" s="142" t="str">
        <f>IF($A89="","",'Situfin serie mensual'!GY88)</f>
        <v/>
      </c>
      <c r="D89" s="142" t="str">
        <f>IF($A89="","",'Situfin serie mensual'!GZ88)</f>
        <v/>
      </c>
      <c r="E89" s="142" t="str">
        <f>IF($A89="","",'Situfin serie mensual'!HA88)</f>
        <v/>
      </c>
      <c r="F89" s="142" t="str">
        <f>IF($A89="","",'Situfin serie mensual'!HB88)</f>
        <v/>
      </c>
      <c r="G89" s="142" t="str">
        <f>IF($A89="","",'Situfin serie mensual'!HC88)</f>
        <v/>
      </c>
      <c r="H89" s="142" t="str">
        <f>IF($A89="","",'Situfin serie mensual'!HD88)</f>
        <v/>
      </c>
      <c r="I89" s="142" t="str">
        <f>IF($A89="","",'Situfin serie mensual'!HE88)</f>
        <v/>
      </c>
      <c r="J89" s="142" t="str">
        <f>IF($A89="","",'Situfin serie mensual'!HF88)</f>
        <v/>
      </c>
      <c r="K89" s="142" t="str">
        <f>IF($A89="","",'Situfin serie mensual'!HG88)</f>
        <v/>
      </c>
      <c r="L89" s="142" t="str">
        <f>IF($A89="","",'Situfin serie mensual'!HH88)</f>
        <v/>
      </c>
      <c r="M89" s="142" t="str">
        <f>IF($A89="","",'Situfin serie mensual'!HI88)</f>
        <v/>
      </c>
      <c r="N89" s="142"/>
      <c r="O89" s="26"/>
      <c r="P89" s="26"/>
    </row>
    <row r="90" spans="1:16" s="26" customFormat="1" ht="12.75">
      <c r="A90" s="26" t="s">
        <v>100</v>
      </c>
      <c r="B90" s="140">
        <f>IF($A90="","",'Situfin serie mensual'!GX89)</f>
        <v>878.87078529499979</v>
      </c>
      <c r="C90" s="140">
        <f>IF($A90="","",'Situfin serie mensual'!GY89)</f>
        <v>-256.92266118699996</v>
      </c>
      <c r="D90" s="140">
        <f>IF($A90="","",'Situfin serie mensual'!GZ89)</f>
        <v>584.56304763899993</v>
      </c>
      <c r="E90" s="140">
        <f>IF($A90="","",'Situfin serie mensual'!HA89)</f>
        <v>-151.60730908099998</v>
      </c>
      <c r="F90" s="140">
        <f>IF($A90="","",'Situfin serie mensual'!HB89)</f>
        <v>-149.61397596800001</v>
      </c>
      <c r="G90" s="140">
        <f>IF($A90="","",'Situfin serie mensual'!HC89)</f>
        <v>-212.03982813000002</v>
      </c>
      <c r="H90" s="140">
        <f>IF($A90="","",'Situfin serie mensual'!HD89)</f>
        <v>86.771990187000014</v>
      </c>
      <c r="I90" s="140">
        <f>IF($A90="","",'Situfin serie mensual'!HE89)</f>
        <v>-13.411818305000001</v>
      </c>
      <c r="J90" s="140">
        <f>IF($A90="","",'Situfin serie mensual'!HF89)</f>
        <v>0</v>
      </c>
      <c r="K90" s="140">
        <f>IF($A90="","",'Situfin serie mensual'!HG89)</f>
        <v>0</v>
      </c>
      <c r="L90" s="140">
        <f>IF($A90="","",'Situfin serie mensual'!HH89)</f>
        <v>0</v>
      </c>
      <c r="M90" s="140">
        <f>IF($A90="","",'Situfin serie mensual'!HI89)</f>
        <v>0</v>
      </c>
      <c r="N90" s="140">
        <f t="shared" si="2"/>
        <v>766.61023044999968</v>
      </c>
    </row>
    <row r="91" spans="1:16" s="162" customFormat="1" ht="12.75">
      <c r="A91" s="29" t="s">
        <v>101</v>
      </c>
      <c r="B91" s="161">
        <f>IF($A91="","",'Situfin serie mensual'!GX90)</f>
        <v>1162.4274716409998</v>
      </c>
      <c r="C91" s="161">
        <f>IF($A91="","",'Situfin serie mensual'!GY90)</f>
        <v>308.676937689</v>
      </c>
      <c r="D91" s="161">
        <f>IF($A91="","",'Situfin serie mensual'!GZ90)</f>
        <v>597.97486594399993</v>
      </c>
      <c r="E91" s="161">
        <f>IF($A91="","",'Situfin serie mensual'!HA90)</f>
        <v>-138.153609776</v>
      </c>
      <c r="F91" s="161">
        <f>IF($A91="","",'Situfin serie mensual'!HB90)</f>
        <v>-135.14141665100001</v>
      </c>
      <c r="G91" s="161">
        <f>IF($A91="","",'Situfin serie mensual'!HC90)</f>
        <v>-198.34726433100002</v>
      </c>
      <c r="H91" s="161">
        <f>IF($A91="","",'Situfin serie mensual'!HD90)</f>
        <v>100.69326934300001</v>
      </c>
      <c r="I91" s="161">
        <f>IF($A91="","",'Situfin serie mensual'!HE90)</f>
        <v>0</v>
      </c>
      <c r="J91" s="161">
        <f>IF($A91="","",'Situfin serie mensual'!HF90)</f>
        <v>0</v>
      </c>
      <c r="K91" s="161">
        <f>IF($A91="","",'Situfin serie mensual'!HG90)</f>
        <v>0</v>
      </c>
      <c r="L91" s="161">
        <f>IF($A91="","",'Situfin serie mensual'!HH90)</f>
        <v>0</v>
      </c>
      <c r="M91" s="161">
        <f>IF($A91="","",'Situfin serie mensual'!HI90)</f>
        <v>0</v>
      </c>
      <c r="N91" s="142">
        <f t="shared" si="2"/>
        <v>1698.130253859</v>
      </c>
      <c r="O91" s="26"/>
      <c r="P91" s="26"/>
    </row>
    <row r="92" spans="1:16" s="162" customFormat="1" ht="12.75">
      <c r="A92" s="29" t="s">
        <v>102</v>
      </c>
      <c r="B92" s="161">
        <f>IF($A92="","",'Situfin serie mensual'!GX91)</f>
        <v>283.55668634599999</v>
      </c>
      <c r="C92" s="161">
        <f>IF($A92="","",'Situfin serie mensual'!GY91)</f>
        <v>565.59959887599996</v>
      </c>
      <c r="D92" s="161">
        <f>IF($A92="","",'Situfin serie mensual'!GZ91)</f>
        <v>13.411818305000001</v>
      </c>
      <c r="E92" s="161">
        <f>IF($A92="","",'Situfin serie mensual'!HA91)</f>
        <v>13.453699305000001</v>
      </c>
      <c r="F92" s="161">
        <f>IF($A92="","",'Situfin serie mensual'!HB91)</f>
        <v>14.472559317000002</v>
      </c>
      <c r="G92" s="161">
        <f>IF($A92="","",'Situfin serie mensual'!HC91)</f>
        <v>13.692563799000002</v>
      </c>
      <c r="H92" s="161">
        <f>IF($A92="","",'Situfin serie mensual'!HD91)</f>
        <v>13.921279156000001</v>
      </c>
      <c r="I92" s="161">
        <f>IF($A92="","",'Situfin serie mensual'!HE91)</f>
        <v>13.411818305000001</v>
      </c>
      <c r="J92" s="161">
        <f>IF($A92="","",'Situfin serie mensual'!HF91)</f>
        <v>0</v>
      </c>
      <c r="K92" s="161">
        <f>IF($A92="","",'Situfin serie mensual'!HG91)</f>
        <v>0</v>
      </c>
      <c r="L92" s="161">
        <f>IF($A92="","",'Situfin serie mensual'!HH91)</f>
        <v>0</v>
      </c>
      <c r="M92" s="161">
        <f>IF($A92="","",'Situfin serie mensual'!HI91)</f>
        <v>0</v>
      </c>
      <c r="N92" s="142">
        <f t="shared" si="2"/>
        <v>931.52002340899992</v>
      </c>
      <c r="O92" s="26"/>
      <c r="P92" s="26"/>
    </row>
    <row r="93" spans="1:16" s="162" customFormat="1" ht="6.75" customHeight="1">
      <c r="B93" s="161" t="str">
        <f>IF($A93="","",'Situfin serie mensual'!GX92)</f>
        <v/>
      </c>
      <c r="C93" s="161" t="str">
        <f>IF($A93="","",'Situfin serie mensual'!GY92)</f>
        <v/>
      </c>
      <c r="D93" s="161" t="str">
        <f>IF($A93="","",'Situfin serie mensual'!GZ92)</f>
        <v/>
      </c>
      <c r="E93" s="161" t="str">
        <f>IF($A93="","",'Situfin serie mensual'!HA92)</f>
        <v/>
      </c>
      <c r="F93" s="161" t="str">
        <f>IF($A93="","",'Situfin serie mensual'!HB92)</f>
        <v/>
      </c>
      <c r="G93" s="161" t="str">
        <f>IF($A93="","",'Situfin serie mensual'!HC92)</f>
        <v/>
      </c>
      <c r="H93" s="161" t="str">
        <f>IF($A93="","",'Situfin serie mensual'!HD92)</f>
        <v/>
      </c>
      <c r="I93" s="161" t="str">
        <f>IF($A93="","",'Situfin serie mensual'!HE92)</f>
        <v/>
      </c>
      <c r="J93" s="161" t="str">
        <f>IF($A93="","",'Situfin serie mensual'!HF92)</f>
        <v/>
      </c>
      <c r="K93" s="161" t="str">
        <f>IF($A93="","",'Situfin serie mensual'!HG92)</f>
        <v/>
      </c>
      <c r="L93" s="161" t="str">
        <f>IF($A93="","",'Situfin serie mensual'!HH92)</f>
        <v/>
      </c>
      <c r="M93" s="161" t="str">
        <f>IF($A93="","",'Situfin serie mensual'!HI92)</f>
        <v/>
      </c>
      <c r="N93" s="186"/>
      <c r="O93" s="26"/>
      <c r="P93" s="26"/>
    </row>
    <row r="94" spans="1:16" s="162" customFormat="1" ht="12.75">
      <c r="A94" s="26" t="s">
        <v>103</v>
      </c>
      <c r="B94" s="164">
        <f>IF($A94="","",'Situfin serie mensual'!GX93)</f>
        <v>3266.1409289475941</v>
      </c>
      <c r="C94" s="164">
        <f>IF($A94="","",'Situfin serie mensual'!GY93)</f>
        <v>342.5019818507559</v>
      </c>
      <c r="D94" s="164">
        <f>IF($A94="","",'Situfin serie mensual'!GZ93)</f>
        <v>2748.0598944483913</v>
      </c>
      <c r="E94" s="164">
        <f>IF($A94="","",'Situfin serie mensual'!HA93)</f>
        <v>5390.9115314327128</v>
      </c>
      <c r="F94" s="164">
        <f>IF($A94="","",'Situfin serie mensual'!HB93)</f>
        <v>-2776.2330160242905</v>
      </c>
      <c r="G94" s="164">
        <f>IF($A94="","",'Situfin serie mensual'!HC93)</f>
        <v>-565.62534609320312</v>
      </c>
      <c r="H94" s="164">
        <f>IF($A94="","",'Situfin serie mensual'!HD93)</f>
        <v>-1616.3551832725097</v>
      </c>
      <c r="I94" s="164">
        <f>IF($A94="","",'Situfin serie mensual'!HE93)</f>
        <v>0</v>
      </c>
      <c r="J94" s="164">
        <f>IF($A94="","",'Situfin serie mensual'!HF93)</f>
        <v>0</v>
      </c>
      <c r="K94" s="164">
        <f>IF($A94="","",'Situfin serie mensual'!HG93)</f>
        <v>0</v>
      </c>
      <c r="L94" s="164">
        <f>IF($A94="","",'Situfin serie mensual'!HH93)</f>
        <v>0</v>
      </c>
      <c r="M94" s="164">
        <f>IF($A94="","",'Situfin serie mensual'!HI93)</f>
        <v>0</v>
      </c>
      <c r="N94" s="140">
        <f t="shared" si="2"/>
        <v>6789.4007912894485</v>
      </c>
      <c r="O94" s="26"/>
      <c r="P94" s="26"/>
    </row>
    <row r="95" spans="1:16" s="162" customFormat="1" ht="12.75">
      <c r="A95" s="29" t="s">
        <v>104</v>
      </c>
      <c r="B95" s="161">
        <f>IF($A95="","",'Situfin serie mensual'!GX94)</f>
        <v>3266.1409289475941</v>
      </c>
      <c r="C95" s="161">
        <f>IF($A95="","",'Situfin serie mensual'!GY94)</f>
        <v>342.5019818507559</v>
      </c>
      <c r="D95" s="161">
        <f>IF($A95="","",'Situfin serie mensual'!GZ94)</f>
        <v>2748.0598944483913</v>
      </c>
      <c r="E95" s="161">
        <f>IF($A95="","",'Situfin serie mensual'!HA94)</f>
        <v>5390.9115314327128</v>
      </c>
      <c r="F95" s="161">
        <f>IF($A95="","",'Situfin serie mensual'!HB94)</f>
        <v>-2776.2330160242905</v>
      </c>
      <c r="G95" s="161">
        <f>IF($A95="","",'Situfin serie mensual'!HC94)</f>
        <v>-565.62534609320312</v>
      </c>
      <c r="H95" s="161">
        <f>IF($A95="","",'Situfin serie mensual'!HD94)</f>
        <v>-1616.3551832725097</v>
      </c>
      <c r="I95" s="161">
        <f>IF($A95="","",'Situfin serie mensual'!HE94)</f>
        <v>0</v>
      </c>
      <c r="J95" s="161">
        <f>IF($A95="","",'Situfin serie mensual'!HF94)</f>
        <v>0</v>
      </c>
      <c r="K95" s="161">
        <f>IF($A95="","",'Situfin serie mensual'!HG94)</f>
        <v>0</v>
      </c>
      <c r="L95" s="161">
        <f>IF($A95="","",'Situfin serie mensual'!HH94)</f>
        <v>0</v>
      </c>
      <c r="M95" s="161">
        <f>IF($A95="","",'Situfin serie mensual'!HI94)</f>
        <v>0</v>
      </c>
      <c r="N95" s="142">
        <f t="shared" si="2"/>
        <v>6789.4007912894485</v>
      </c>
      <c r="O95" s="26"/>
      <c r="P95" s="26"/>
    </row>
    <row r="96" spans="1:16" s="162" customFormat="1" ht="7.5" hidden="1" customHeight="1">
      <c r="B96" s="161" t="str">
        <f>IF($A96="","",'Situfin serie mensual'!GX95)</f>
        <v/>
      </c>
      <c r="C96" s="161" t="str">
        <f>IF($A96="","",'Situfin serie mensual'!GY95)</f>
        <v/>
      </c>
      <c r="D96" s="161" t="str">
        <f>IF($A96="","",'Situfin serie mensual'!GZ95)</f>
        <v/>
      </c>
      <c r="E96" s="161" t="str">
        <f>IF($A96="","",'Situfin serie mensual'!HA95)</f>
        <v/>
      </c>
      <c r="F96" s="161" t="str">
        <f>IF($A96="","",'Situfin serie mensual'!HB95)</f>
        <v/>
      </c>
      <c r="G96" s="161" t="str">
        <f>IF($A96="","",'Situfin serie mensual'!HC95)</f>
        <v/>
      </c>
      <c r="H96" s="161" t="str">
        <f>IF($A96="","",'Situfin serie mensual'!HD95)</f>
        <v/>
      </c>
      <c r="I96" s="161" t="str">
        <f>IF($A96="","",'Situfin serie mensual'!HE95)</f>
        <v/>
      </c>
      <c r="J96" s="161" t="str">
        <f>IF($A96="","",'Situfin serie mensual'!HF95)</f>
        <v/>
      </c>
      <c r="K96" s="161" t="str">
        <f>IF($A96="","",'Situfin serie mensual'!HG95)</f>
        <v/>
      </c>
      <c r="L96" s="161" t="str">
        <f>IF($A96="","",'Situfin serie mensual'!HH95)</f>
        <v/>
      </c>
      <c r="M96" s="161" t="str">
        <f>IF($A96="","",'Situfin serie mensual'!HI95)</f>
        <v/>
      </c>
      <c r="N96" s="186"/>
      <c r="O96" s="26"/>
      <c r="P96" s="26"/>
    </row>
    <row r="97" spans="1:16" s="162" customFormat="1" ht="12.75" hidden="1">
      <c r="A97" s="26" t="s">
        <v>211</v>
      </c>
      <c r="B97" s="164">
        <f>IF($A97="","",'Situfin serie mensual'!GX96)</f>
        <v>960.5947279644065</v>
      </c>
      <c r="C97" s="164">
        <f>IF($A97="","",'Situfin serie mensual'!GY96)</f>
        <v>175.22010403724482</v>
      </c>
      <c r="D97" s="164">
        <f>IF($A97="","",'Situfin serie mensual'!GZ96)</f>
        <v>-487.4755044343915</v>
      </c>
      <c r="E97" s="164">
        <f>IF($A97="","",'Situfin serie mensual'!HA96)</f>
        <v>-4862.6355861897136</v>
      </c>
      <c r="F97" s="164">
        <f>IF($A97="","",'Situfin serie mensual'!HB96)</f>
        <v>1101.0024816602906</v>
      </c>
      <c r="G97" s="164">
        <f>IF($A97="","",'Situfin serie mensual'!HC96)</f>
        <v>-268.90959841779613</v>
      </c>
      <c r="H97" s="164">
        <f>IF($A97="","",'Situfin serie mensual'!HD96)</f>
        <v>1294.5984424985102</v>
      </c>
      <c r="I97" s="164">
        <f>IF($A97="","",'Situfin serie mensual'!HE96)</f>
        <v>-885.33888899199962</v>
      </c>
      <c r="J97" s="164">
        <f>IF($A97="","",'Situfin serie mensual'!HF96)</f>
        <v>0</v>
      </c>
      <c r="K97" s="164">
        <f>IF($A97="","",'Situfin serie mensual'!HG96)</f>
        <v>0</v>
      </c>
      <c r="L97" s="164">
        <f>IF($A97="","",'Situfin serie mensual'!HH96)</f>
        <v>0</v>
      </c>
      <c r="M97" s="164">
        <f>IF($A97="","",'Situfin serie mensual'!HI96)</f>
        <v>0</v>
      </c>
      <c r="N97" s="140">
        <f>+SUM(B97:M97)</f>
        <v>-2972.9438218734485</v>
      </c>
      <c r="O97" s="26"/>
      <c r="P97" s="26"/>
    </row>
    <row r="98" spans="1:16">
      <c r="B98" s="168" t="str">
        <f>IF($A98="","",'Situfin serie mensual'!GX97)</f>
        <v/>
      </c>
      <c r="C98" s="168" t="str">
        <f>IF($A98="","",'Situfin serie mensual'!GY97)</f>
        <v/>
      </c>
      <c r="D98" s="168" t="str">
        <f>IF($A98="","",'Situfin serie mensual'!GZ97)</f>
        <v/>
      </c>
      <c r="E98" s="168" t="str">
        <f>IF($A98="","",'Situfin serie mensual'!HA97)</f>
        <v/>
      </c>
      <c r="F98" s="168" t="str">
        <f>IF($A98="","",'Situfin serie mensual'!HB97)</f>
        <v/>
      </c>
      <c r="G98" s="168" t="str">
        <f>IF($A98="","",'Situfin serie mensual'!HC97)</f>
        <v/>
      </c>
      <c r="H98" s="168" t="str">
        <f>IF($A98="","",'Situfin serie mensual'!HD97)</f>
        <v/>
      </c>
      <c r="I98" s="168" t="str">
        <f>IF($A98="","",'Situfin serie mensual'!HE97)</f>
        <v/>
      </c>
      <c r="J98" s="168" t="str">
        <f>IF($A98="","",'Situfin serie mensual'!HF97)</f>
        <v/>
      </c>
      <c r="K98" s="168" t="str">
        <f>IF($A98="","",'Situfin serie mensual'!HG97)</f>
        <v/>
      </c>
      <c r="L98" s="168" t="str">
        <f>IF($A98="","",'Situfin serie mensual'!HH97)</f>
        <v/>
      </c>
      <c r="M98" s="168" t="str">
        <f>IF($A98="","",'Situfin serie mensual'!HI97)</f>
        <v/>
      </c>
      <c r="N98" s="168"/>
    </row>
    <row r="99" spans="1:16" ht="15">
      <c r="A99" s="169" t="s">
        <v>212</v>
      </c>
      <c r="F99" s="187"/>
      <c r="I99" s="127"/>
    </row>
    <row r="100" spans="1:16" ht="15">
      <c r="A100" s="172" t="s">
        <v>230</v>
      </c>
      <c r="F100" s="187"/>
    </row>
    <row r="101" spans="1:16">
      <c r="F101" s="187"/>
    </row>
    <row r="102" spans="1:16">
      <c r="F102" s="187"/>
    </row>
  </sheetData>
  <mergeCells count="18"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</mergeCells>
  <hyperlinks>
    <hyperlink ref="P1" location="Resumen!A1" display="Resumen!A1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7"/>
  <sheetViews>
    <sheetView showGridLines="0" topLeftCell="N7" workbookViewId="0">
      <selection activeCell="S22" sqref="S22"/>
    </sheetView>
  </sheetViews>
  <sheetFormatPr baseColWidth="10" defaultRowHeight="15"/>
  <cols>
    <col min="1" max="1" width="2" style="90" customWidth="1"/>
    <col min="2" max="2" width="16.5703125" bestFit="1" customWidth="1"/>
    <col min="3" max="3" width="30.140625" bestFit="1" customWidth="1"/>
    <col min="4" max="4" width="14.5703125" style="90" bestFit="1" customWidth="1"/>
    <col min="5" max="5" width="18.7109375" style="90" bestFit="1" customWidth="1"/>
    <col min="6" max="6" width="12.140625" style="90" bestFit="1" customWidth="1"/>
    <col min="7" max="7" width="14.42578125" style="90" bestFit="1" customWidth="1"/>
    <col min="8" max="8" width="11.28515625" bestFit="1" customWidth="1"/>
    <col min="9" max="9" width="13.42578125" style="90" bestFit="1" customWidth="1"/>
    <col min="10" max="10" width="4.7109375" style="90" customWidth="1"/>
    <col min="11" max="11" width="7" style="90" customWidth="1"/>
    <col min="12" max="12" width="18.5703125" style="90" bestFit="1" customWidth="1"/>
    <col min="13" max="13" width="25.5703125" style="90" bestFit="1" customWidth="1"/>
    <col min="14" max="14" width="25.28515625" bestFit="1" customWidth="1"/>
    <col min="15" max="15" width="4.85546875" style="90" customWidth="1"/>
    <col min="16" max="16" width="32.7109375" bestFit="1" customWidth="1"/>
    <col min="17" max="17" width="13.28515625" bestFit="1" customWidth="1"/>
    <col min="18" max="18" width="14.28515625" bestFit="1" customWidth="1"/>
  </cols>
  <sheetData>
    <row r="2" spans="2:19">
      <c r="B2" s="91" t="s">
        <v>1</v>
      </c>
      <c r="C2" s="90" t="s" vm="1">
        <v>190</v>
      </c>
      <c r="K2" s="91" t="s">
        <v>1</v>
      </c>
      <c r="L2" s="90" t="s" vm="2">
        <v>190</v>
      </c>
      <c r="P2" s="74" t="s">
        <v>237</v>
      </c>
    </row>
    <row r="3" spans="2:19">
      <c r="K3"/>
      <c r="L3"/>
      <c r="M3"/>
      <c r="P3" s="9"/>
      <c r="Q3" s="191" t="s">
        <v>136</v>
      </c>
      <c r="R3" s="191" t="s">
        <v>135</v>
      </c>
      <c r="S3" s="191" t="s">
        <v>129</v>
      </c>
    </row>
    <row r="4" spans="2:19">
      <c r="B4" s="91" t="s">
        <v>130</v>
      </c>
      <c r="C4" t="s">
        <v>236</v>
      </c>
      <c r="K4" s="91" t="s">
        <v>2</v>
      </c>
      <c r="L4" s="91" t="s">
        <v>178</v>
      </c>
      <c r="M4" s="90" t="s">
        <v>261</v>
      </c>
      <c r="N4" s="90" t="s">
        <v>262</v>
      </c>
      <c r="O4" s="91"/>
      <c r="P4" s="192" t="s">
        <v>238</v>
      </c>
      <c r="Q4" s="202">
        <f>VLOOKUP(MAX(B5:B10),$B$5:$C$10,2,0)</f>
        <v>-1156.6055494212715</v>
      </c>
      <c r="R4" s="201">
        <f>VLOOKUP(MAX(B5:B10)-1,$B$5:$C$10,2,0)</f>
        <v>-368.4037617904566</v>
      </c>
      <c r="S4" s="199"/>
    </row>
    <row r="5" spans="2:19">
      <c r="B5" s="92">
        <v>2018</v>
      </c>
      <c r="C5" s="93">
        <v>-157.29344349378724</v>
      </c>
      <c r="D5" s="93"/>
      <c r="E5" s="93"/>
      <c r="F5" s="93"/>
      <c r="G5" s="93"/>
      <c r="K5" s="90">
        <v>2018</v>
      </c>
      <c r="L5" s="90">
        <v>8</v>
      </c>
      <c r="M5" s="93">
        <v>-1.0831763656666926</v>
      </c>
      <c r="N5" s="93">
        <v>2.1915166414161278</v>
      </c>
      <c r="P5" s="193" t="s">
        <v>264</v>
      </c>
      <c r="Q5" s="194">
        <f>ABS(VLOOKUP(MAX(B15:B20),$B$15:$C$20,2,0))/100</f>
        <v>3.3613827745800164E-2</v>
      </c>
      <c r="R5" s="194">
        <f>ABS(VLOOKUP(MAX(B15:B20)-1,$B$15:$C$20,2,0))/100</f>
        <v>1.0760395552716377E-2</v>
      </c>
      <c r="S5" s="200"/>
    </row>
    <row r="6" spans="2:19">
      <c r="B6" s="92">
        <v>2019</v>
      </c>
      <c r="C6" s="93">
        <v>-368.4037617904566</v>
      </c>
      <c r="D6" s="93"/>
      <c r="E6" s="93"/>
      <c r="F6" s="93"/>
      <c r="G6" s="93"/>
      <c r="K6" s="90">
        <v>2018</v>
      </c>
      <c r="L6" s="90">
        <v>7</v>
      </c>
      <c r="M6" s="93">
        <v>-1.0711367009340176</v>
      </c>
      <c r="N6" s="93">
        <v>2.2909348644135981</v>
      </c>
      <c r="P6" s="193" t="s">
        <v>265</v>
      </c>
      <c r="Q6" s="194">
        <f>ABS(VLOOKUP(MAX(K5:K100),$K$5:$M$100,3,0))/100</f>
        <v>5.0705516543766337E-2</v>
      </c>
      <c r="R6" s="194">
        <f>ABS(VLOOKUP(MAX(K5:K100)-1,$K$5:$M$100,3,0))/100</f>
        <v>1.8672379759066229E-2</v>
      </c>
      <c r="S6" s="200"/>
    </row>
    <row r="7" spans="2:19">
      <c r="B7" s="92">
        <v>2020</v>
      </c>
      <c r="C7" s="93">
        <v>-1156.6055494212715</v>
      </c>
      <c r="D7" s="93"/>
      <c r="E7" s="93"/>
      <c r="F7" s="93"/>
      <c r="G7" s="93"/>
      <c r="K7" s="90">
        <v>2018</v>
      </c>
      <c r="L7" s="90">
        <v>6</v>
      </c>
      <c r="M7" s="93">
        <v>-1.0244119686018482</v>
      </c>
      <c r="N7" s="93">
        <v>2.2083444837273776</v>
      </c>
      <c r="P7" s="193" t="s">
        <v>239</v>
      </c>
      <c r="Q7" s="195">
        <f>VLOOKUP(MAX(B25:B30),$B$25:$C$30,2,0)</f>
        <v>20075.617786611001</v>
      </c>
      <c r="R7" s="195">
        <f>VLOOKUP(MAX(B25:B30)-1,$B$25:$C$30,2,0)</f>
        <v>22080.737184795002</v>
      </c>
      <c r="S7" s="203">
        <f>ABS(IFERROR(Q7/R7-1,0))</f>
        <v>9.0808535122855583E-2</v>
      </c>
    </row>
    <row r="8" spans="2:19">
      <c r="K8" s="90">
        <v>2018</v>
      </c>
      <c r="L8" s="90">
        <v>5</v>
      </c>
      <c r="M8" s="93">
        <v>-0.97210680656126314</v>
      </c>
      <c r="N8" s="93">
        <v>2.1861447026693845</v>
      </c>
      <c r="P8" s="193" t="s">
        <v>6</v>
      </c>
      <c r="Q8" s="195">
        <f>VLOOKUP(MAX(B25:B30),$B$25:$I$30,3,0)</f>
        <v>13706.866171352998</v>
      </c>
      <c r="R8" s="195">
        <f>VLOOKUP(MAX(B25:B30)-1,$B$25:$I$30,3,0)</f>
        <v>15524.317991215999</v>
      </c>
      <c r="S8" s="194">
        <f>IFERROR(Q8/R8-1,0)</f>
        <v>-0.11707128267350331</v>
      </c>
    </row>
    <row r="9" spans="2:19">
      <c r="K9" s="90">
        <v>2018</v>
      </c>
      <c r="L9" s="90">
        <v>4</v>
      </c>
      <c r="M9" s="93">
        <v>-0.94996957127623693</v>
      </c>
      <c r="N9" s="93">
        <v>2.1876424266077072</v>
      </c>
      <c r="P9" s="193" t="s">
        <v>7</v>
      </c>
      <c r="Q9" s="195">
        <f>VLOOKUP(MAX(B25:B30),$B$25:$I$30,4,0)</f>
        <v>8183.4365181459998</v>
      </c>
      <c r="R9" s="195">
        <f>VLOOKUP(MAX(B25:B30)-1,$B$25:$I$30,4,0)</f>
        <v>9275.515914343001</v>
      </c>
      <c r="S9" s="194">
        <f t="shared" ref="S9:S26" si="0">IFERROR(Q9/R9-1,0)</f>
        <v>-0.1177378602206145</v>
      </c>
    </row>
    <row r="10" spans="2:19">
      <c r="K10" s="90">
        <v>2018</v>
      </c>
      <c r="L10" s="90">
        <v>3</v>
      </c>
      <c r="M10" s="93">
        <v>-1.0982918578974548</v>
      </c>
      <c r="N10" s="93">
        <v>2.0961928432723664</v>
      </c>
      <c r="P10" s="193" t="s">
        <v>8</v>
      </c>
      <c r="Q10" s="195">
        <f>VLOOKUP(MAX(B25:B30),$B$25:$I$30,5,0)</f>
        <v>5528.4208001713005</v>
      </c>
      <c r="R10" s="195">
        <f>VLOOKUP(MAX(B25:B30)-1,$B$25:$I$30,5,0)</f>
        <v>6194.6454639709991</v>
      </c>
      <c r="S10" s="194">
        <f t="shared" si="0"/>
        <v>-0.10754847354454145</v>
      </c>
    </row>
    <row r="11" spans="2:19">
      <c r="K11" s="90">
        <v>2018</v>
      </c>
      <c r="L11" s="90">
        <v>2</v>
      </c>
      <c r="M11" s="93">
        <v>-1.00074193366318</v>
      </c>
      <c r="N11" s="93">
        <v>2.1694229260980102</v>
      </c>
      <c r="P11" s="193" t="s">
        <v>9</v>
      </c>
      <c r="Q11" s="195">
        <f>VLOOKUP(MAX(B25:B30),$B$25:$I$30,6,0)</f>
        <v>1725.01017305</v>
      </c>
      <c r="R11" s="195">
        <f>VLOOKUP(MAX(B25:B30)-1,$B$25:$I$30,6,0)</f>
        <v>1448.4645907260001</v>
      </c>
      <c r="S11" s="194">
        <f t="shared" si="0"/>
        <v>0.19092326046119612</v>
      </c>
    </row>
    <row r="12" spans="2:19">
      <c r="B12" s="91" t="s">
        <v>1</v>
      </c>
      <c r="C12" s="90" t="s" vm="1">
        <v>190</v>
      </c>
      <c r="K12" s="90">
        <v>2018</v>
      </c>
      <c r="L12" s="90">
        <v>1</v>
      </c>
      <c r="M12" s="93">
        <v>-0.67190988567971244</v>
      </c>
      <c r="N12" s="93">
        <v>2.2175381718140468</v>
      </c>
      <c r="P12" s="193" t="s">
        <v>10</v>
      </c>
      <c r="Q12" s="195">
        <f>VLOOKUP(MAX(B25:B30),$B$25:$I$30,7,0)</f>
        <v>750.71426861500004</v>
      </c>
      <c r="R12" s="195">
        <f>VLOOKUP(MAX(B25:B30)-1,$B$25:$I$30,7,0)</f>
        <v>748.88536664700007</v>
      </c>
      <c r="S12" s="194">
        <f t="shared" si="0"/>
        <v>2.442165449417999E-3</v>
      </c>
    </row>
    <row r="13" spans="2:19">
      <c r="B13" s="90"/>
      <c r="C13" s="90"/>
      <c r="K13" s="90">
        <v>2019</v>
      </c>
      <c r="L13" s="90">
        <v>8</v>
      </c>
      <c r="M13" s="93">
        <v>-1.8672379759066229</v>
      </c>
      <c r="N13" s="93">
        <v>2.2485761520733494</v>
      </c>
      <c r="P13" s="193" t="s">
        <v>11</v>
      </c>
      <c r="Q13" s="195">
        <f>VLOOKUP(MAX(B25:B30),$B$25:$I$30,8,0)</f>
        <v>3893.027173593</v>
      </c>
      <c r="R13" s="195">
        <f>VLOOKUP(MAX(B25:B30)-1,$B$25:$I$30,8,0)</f>
        <v>4359.0692362060008</v>
      </c>
      <c r="S13" s="194">
        <f t="shared" si="0"/>
        <v>-0.10691320494340883</v>
      </c>
    </row>
    <row r="14" spans="2:19">
      <c r="B14" s="91" t="s">
        <v>130</v>
      </c>
      <c r="C14" t="s">
        <v>248</v>
      </c>
      <c r="H14" s="91"/>
      <c r="I14" s="91"/>
      <c r="J14" s="91"/>
      <c r="K14" s="90">
        <v>2019</v>
      </c>
      <c r="L14" s="90">
        <v>7</v>
      </c>
      <c r="M14" s="93">
        <v>-1.5238757541432486</v>
      </c>
      <c r="N14" s="93">
        <v>2.0620020335056508</v>
      </c>
      <c r="O14" s="91"/>
      <c r="P14" s="196" t="s">
        <v>240</v>
      </c>
      <c r="Q14" s="195">
        <f>VLOOKUP(MAX(B35:B40),$B$35:$I$40,2,0)</f>
        <v>23526.367888614997</v>
      </c>
      <c r="R14" s="195">
        <f>VLOOKUP(MAX(B35:B40)-1,$B$35:$I$40,2,0)</f>
        <v>21136.678047493999</v>
      </c>
      <c r="S14" s="194">
        <f t="shared" si="0"/>
        <v>0.11305891284105196</v>
      </c>
    </row>
    <row r="15" spans="2:19">
      <c r="B15" s="92">
        <v>2018</v>
      </c>
      <c r="C15" s="93">
        <v>-0.47245415578619532</v>
      </c>
      <c r="D15" s="93"/>
      <c r="E15" s="93"/>
      <c r="F15" s="93"/>
      <c r="G15" s="93"/>
      <c r="K15" s="90">
        <v>2019</v>
      </c>
      <c r="L15" s="90">
        <v>6</v>
      </c>
      <c r="M15" s="93">
        <v>-1.4553798176901693</v>
      </c>
      <c r="N15" s="93">
        <v>2.0466245993630321</v>
      </c>
      <c r="P15" s="229" t="s">
        <v>35</v>
      </c>
      <c r="Q15" s="230">
        <f>VLOOKUP(MAX(B35:B40),$B$35:$I$40,3,0)</f>
        <v>10713.351976755001</v>
      </c>
      <c r="R15" s="230">
        <f>VLOOKUP(MAX(B35:B40)-1,$B$35:$I$40,3,0)</f>
        <v>10012.698739790001</v>
      </c>
      <c r="S15" s="231">
        <f t="shared" si="0"/>
        <v>6.997646240774591E-2</v>
      </c>
    </row>
    <row r="16" spans="2:19">
      <c r="B16" s="92">
        <v>2019</v>
      </c>
      <c r="C16" s="93">
        <v>-1.0760395552716377</v>
      </c>
      <c r="D16" s="93"/>
      <c r="E16" s="93"/>
      <c r="F16" s="93"/>
      <c r="G16" s="93"/>
      <c r="K16" s="90">
        <v>2019</v>
      </c>
      <c r="L16" s="90">
        <v>5</v>
      </c>
      <c r="M16" s="93">
        <v>-1.3896181258860265</v>
      </c>
      <c r="N16" s="93">
        <v>2.0113503636464589</v>
      </c>
      <c r="P16" s="193" t="s">
        <v>36</v>
      </c>
      <c r="Q16" s="195">
        <f>VLOOKUP(MAX(B35:B40),$B$35:$I$40,4,0)</f>
        <v>2127.0742591379999</v>
      </c>
      <c r="R16" s="195">
        <f>VLOOKUP(MAX(B35:B40)-1,$B$35:$I$40,4,0)</f>
        <v>2108.545672875</v>
      </c>
      <c r="S16" s="194">
        <f t="shared" si="0"/>
        <v>8.7873772436410924E-3</v>
      </c>
    </row>
    <row r="17" spans="2:19">
      <c r="B17" s="92">
        <v>2020</v>
      </c>
      <c r="C17" s="93">
        <v>-3.3613827745800164</v>
      </c>
      <c r="D17" s="93"/>
      <c r="E17" s="93"/>
      <c r="F17" s="93"/>
      <c r="G17" s="93"/>
      <c r="K17" s="90">
        <v>2019</v>
      </c>
      <c r="L17" s="90">
        <v>4</v>
      </c>
      <c r="M17" s="93">
        <v>-1.2111059136583786</v>
      </c>
      <c r="N17" s="93">
        <v>2.003881303467943</v>
      </c>
      <c r="P17" s="193" t="s">
        <v>37</v>
      </c>
      <c r="Q17" s="195">
        <f>VLOOKUP(MAX(B35:B40),$B$35:$I$40,5,0)</f>
        <v>1518.7952569719998</v>
      </c>
      <c r="R17" s="195">
        <f>VLOOKUP(MAX(B35:B40)-1,$B$35:$I$40,5,0)</f>
        <v>1341.7417009630001</v>
      </c>
      <c r="S17" s="194">
        <f t="shared" si="0"/>
        <v>0.13195800345321618</v>
      </c>
    </row>
    <row r="18" spans="2:19">
      <c r="K18" s="90">
        <v>2019</v>
      </c>
      <c r="L18" s="90">
        <v>3</v>
      </c>
      <c r="M18" s="93">
        <v>-1.1791672707793135</v>
      </c>
      <c r="N18" s="93">
        <v>2.0858726231271936</v>
      </c>
      <c r="P18" s="193" t="s">
        <v>10</v>
      </c>
      <c r="Q18" s="195">
        <f>VLOOKUP(MAX(B35:B40),$B$35:$I$40,6,0)</f>
        <v>2762.062217663</v>
      </c>
      <c r="R18" s="195">
        <f>VLOOKUP(MAX(B35:B40)-1,$B$35:$I$40,6,0)</f>
        <v>3156.0937197439998</v>
      </c>
      <c r="S18" s="194">
        <f t="shared" si="0"/>
        <v>-0.12484784580888841</v>
      </c>
    </row>
    <row r="19" spans="2:19">
      <c r="K19" s="90">
        <v>2019</v>
      </c>
      <c r="L19" s="90">
        <v>2</v>
      </c>
      <c r="M19" s="93">
        <v>-0.98981959714573942</v>
      </c>
      <c r="N19" s="93">
        <v>1.9726758604775927</v>
      </c>
      <c r="P19" s="193" t="s">
        <v>38</v>
      </c>
      <c r="Q19" s="195">
        <f>VLOOKUP(MAX(B35:B40),$B$35:$I$40,7,0)</f>
        <v>5471.1030404440007</v>
      </c>
      <c r="R19" s="195">
        <f>VLOOKUP(MAX(B35:B40)-1,$B$35:$I$40,7,0)</f>
        <v>3570.1626151060004</v>
      </c>
      <c r="S19" s="194">
        <f t="shared" si="0"/>
        <v>0.53245205618779923</v>
      </c>
    </row>
    <row r="20" spans="2:19">
      <c r="K20" s="90">
        <v>2019</v>
      </c>
      <c r="L20" s="90">
        <v>1</v>
      </c>
      <c r="M20" s="93">
        <v>-1.2440950867324376</v>
      </c>
      <c r="N20" s="93">
        <v>1.9444400094852665</v>
      </c>
      <c r="P20" s="193" t="s">
        <v>79</v>
      </c>
      <c r="Q20" s="195">
        <f>VLOOKUP(MAX(B35:B40),$B$35:$I$40,8,0)</f>
        <v>933.98113764300001</v>
      </c>
      <c r="R20" s="195">
        <f>VLOOKUP(MAX(B35:B40)-1,$B$35:$I$40,8,0)</f>
        <v>947.43559901599997</v>
      </c>
      <c r="S20" s="194">
        <f t="shared" si="0"/>
        <v>-1.420092446069543E-2</v>
      </c>
    </row>
    <row r="21" spans="2:19">
      <c r="K21" s="90">
        <v>2020</v>
      </c>
      <c r="L21" s="90">
        <v>8</v>
      </c>
      <c r="M21" s="93">
        <v>-5.0705516543766338</v>
      </c>
      <c r="N21" s="93">
        <v>3.3606737047572</v>
      </c>
      <c r="P21" s="193" t="s">
        <v>241</v>
      </c>
      <c r="Q21" s="195">
        <f>VLOOKUP(MAX(B45:B50),$B$45:$G$50,2,0)</f>
        <v>4591.2709311398676</v>
      </c>
      <c r="R21" s="195">
        <f>VLOOKUP(MAX(B45:B50)-1,$B$45:$G$50,2,0)</f>
        <v>3505.6159294939998</v>
      </c>
      <c r="S21" s="194">
        <f t="shared" si="0"/>
        <v>0.30969022947204916</v>
      </c>
    </row>
    <row r="22" spans="2:19">
      <c r="B22" s="91" t="s">
        <v>1</v>
      </c>
      <c r="C22" s="90" t="s" vm="1">
        <v>190</v>
      </c>
      <c r="K22" s="90">
        <v>2020</v>
      </c>
      <c r="L22" s="90">
        <v>7</v>
      </c>
      <c r="M22" s="93">
        <v>-5.1818209510621802</v>
      </c>
      <c r="N22" s="93">
        <v>3.4795733752349478</v>
      </c>
      <c r="P22" s="193" t="s">
        <v>242</v>
      </c>
      <c r="Q22" s="197">
        <f>VLOOKUP(MAX(B45:B50),$B$45:$G$50,3,0)</f>
        <v>660.31777534123012</v>
      </c>
      <c r="R22" s="197">
        <f>VLOOKUP(MAX(B45:B50)-1,$B$45:$G$50,3,0)</f>
        <v>504.17859161048477</v>
      </c>
      <c r="S22" s="194">
        <f t="shared" si="0"/>
        <v>0.30969022947204872</v>
      </c>
    </row>
    <row r="23" spans="2:19">
      <c r="B23" s="90"/>
      <c r="C23" s="90"/>
      <c r="K23" s="90">
        <v>2020</v>
      </c>
      <c r="L23" s="90">
        <v>6</v>
      </c>
      <c r="M23" s="93">
        <v>-4.8108166008909183</v>
      </c>
      <c r="N23" s="93">
        <v>3.3975353147705651</v>
      </c>
      <c r="P23" s="193" t="s">
        <v>243</v>
      </c>
      <c r="Q23" s="194">
        <f>VLOOKUP(MAX(B45:B50),$B$45:$G$50,4,0)/100</f>
        <v>1.9190473337185834E-2</v>
      </c>
      <c r="R23" s="194">
        <f>VLOOKUP(MAX(B45:B50)-1,$B$45:$G$50,4,0)/100</f>
        <v>1.4726128334232456E-2</v>
      </c>
      <c r="S23" s="194">
        <f t="shared" si="0"/>
        <v>0.30315809434958774</v>
      </c>
    </row>
    <row r="24" spans="2:19">
      <c r="B24" s="91" t="s">
        <v>130</v>
      </c>
      <c r="C24" s="90" t="s">
        <v>187</v>
      </c>
      <c r="D24" s="90" t="s">
        <v>114</v>
      </c>
      <c r="E24" s="90" t="s">
        <v>131</v>
      </c>
      <c r="F24" s="90" t="s">
        <v>132</v>
      </c>
      <c r="G24" s="90" t="s">
        <v>249</v>
      </c>
      <c r="H24" s="90" t="s">
        <v>134</v>
      </c>
      <c r="I24" s="90" t="s">
        <v>250</v>
      </c>
      <c r="K24" s="90">
        <v>2020</v>
      </c>
      <c r="L24" s="90">
        <v>5</v>
      </c>
      <c r="M24" s="93">
        <v>-4.6375043137611387</v>
      </c>
      <c r="N24" s="93">
        <v>3.3229332169803332</v>
      </c>
      <c r="O24" s="91"/>
      <c r="P24" s="196" t="s">
        <v>263</v>
      </c>
      <c r="Q24" s="194">
        <f>(VLOOKUP(MAX(K5:K100),$K$5:$N$100,4,0))/100</f>
        <v>3.3606737047572E-2</v>
      </c>
      <c r="R24" s="194">
        <f>(VLOOKUP(MAX(K5:K100)-1,$K$5:$N$100,4,0))/100</f>
        <v>2.2485761520733494E-2</v>
      </c>
      <c r="S24" s="194">
        <f t="shared" si="0"/>
        <v>0.49457855881750601</v>
      </c>
    </row>
    <row r="25" spans="2:19">
      <c r="B25" s="92">
        <v>2018</v>
      </c>
      <c r="C25" s="93">
        <v>21026.619777187003</v>
      </c>
      <c r="D25" s="93">
        <v>15305.392392892998</v>
      </c>
      <c r="E25" s="93">
        <v>8566.6988337149996</v>
      </c>
      <c r="F25" s="93">
        <v>6702.3032124860001</v>
      </c>
      <c r="G25" s="93">
        <v>1064.588651863</v>
      </c>
      <c r="H25" s="93">
        <v>1110.9586385150001</v>
      </c>
      <c r="I25" s="93">
        <v>3545.6800939159998</v>
      </c>
      <c r="J25" s="93"/>
      <c r="K25" s="90">
        <v>2020</v>
      </c>
      <c r="L25" s="90">
        <v>4</v>
      </c>
      <c r="M25" s="93">
        <v>-4.2620714736511136</v>
      </c>
      <c r="N25" s="93">
        <v>3.3011070324311933</v>
      </c>
      <c r="P25" s="193" t="s">
        <v>244</v>
      </c>
      <c r="Q25" s="197">
        <f>VLOOKUP(MAX(B45:B50),$B$45:$G$50,5,0)</f>
        <v>552.91720170492192</v>
      </c>
      <c r="R25" s="197">
        <f>VLOOKUP(MAX(B45:B50)-1,$B$45:$G$50,5,0)</f>
        <v>377.19183617626027</v>
      </c>
      <c r="S25" s="194">
        <f t="shared" si="0"/>
        <v>0.46587796626262579</v>
      </c>
    </row>
    <row r="26" spans="2:19">
      <c r="B26" s="92">
        <v>2019</v>
      </c>
      <c r="C26" s="93">
        <v>22080.737184795002</v>
      </c>
      <c r="D26" s="93">
        <v>15524.317991215999</v>
      </c>
      <c r="E26" s="93">
        <v>9275.515914343001</v>
      </c>
      <c r="F26" s="93">
        <v>6194.6454639709991</v>
      </c>
      <c r="G26" s="93">
        <v>1448.4645907260001</v>
      </c>
      <c r="H26" s="93">
        <v>748.88536664700007</v>
      </c>
      <c r="I26" s="93">
        <v>4359.0692362060008</v>
      </c>
      <c r="J26" s="93"/>
      <c r="K26" s="90">
        <v>2020</v>
      </c>
      <c r="L26" s="90">
        <v>3</v>
      </c>
      <c r="M26" s="93">
        <v>-3.2674321894283818</v>
      </c>
      <c r="N26" s="93">
        <v>3.2084691601034248</v>
      </c>
      <c r="P26" s="193" t="s">
        <v>245</v>
      </c>
      <c r="Q26" s="197">
        <f>VLOOKUP(MAX(B45:B50),$B$45:$G$50,6,0)</f>
        <v>107.40057363630828</v>
      </c>
      <c r="R26" s="197">
        <f>VLOOKUP(MAX(B45:B50)-1,$B$45:$G$50,6,0)</f>
        <v>126.98675543422452</v>
      </c>
      <c r="S26" s="194">
        <f t="shared" si="0"/>
        <v>-0.15423798907958808</v>
      </c>
    </row>
    <row r="27" spans="2:19">
      <c r="B27" s="92">
        <v>2020</v>
      </c>
      <c r="C27" s="93">
        <v>20075.617786611001</v>
      </c>
      <c r="D27" s="93">
        <v>13706.866171352998</v>
      </c>
      <c r="E27" s="93">
        <v>8183.4365181459998</v>
      </c>
      <c r="F27" s="93">
        <v>5528.4208001713005</v>
      </c>
      <c r="G27" s="93">
        <v>1725.01017305</v>
      </c>
      <c r="H27" s="93">
        <v>750.71426861500004</v>
      </c>
      <c r="I27" s="93">
        <v>3893.027173593</v>
      </c>
      <c r="J27" s="93"/>
      <c r="K27" s="90">
        <v>2020</v>
      </c>
      <c r="L27" s="90">
        <v>2</v>
      </c>
      <c r="M27" s="93">
        <v>-2.9931871300038786</v>
      </c>
      <c r="N27" s="93">
        <v>2.9925575869435956</v>
      </c>
      <c r="P27" s="193" t="s">
        <v>246</v>
      </c>
      <c r="Q27" s="204">
        <f>Q25/Q$22</f>
        <v>0.83735017040726012</v>
      </c>
      <c r="R27" s="204">
        <f>R25/R$22</f>
        <v>0.74813140115966847</v>
      </c>
      <c r="S27" s="200"/>
    </row>
    <row r="28" spans="2:19">
      <c r="K28" s="90">
        <v>2020</v>
      </c>
      <c r="L28" s="90">
        <v>1</v>
      </c>
      <c r="M28" s="93">
        <v>-2.970572134896742</v>
      </c>
      <c r="N28" s="93">
        <v>2.9391913781949022</v>
      </c>
      <c r="P28" s="198" t="s">
        <v>247</v>
      </c>
      <c r="Q28" s="205">
        <f>Q26/Q$22</f>
        <v>0.16264982959274005</v>
      </c>
      <c r="R28" s="205">
        <f>R26/R$22</f>
        <v>0.25186859884033153</v>
      </c>
      <c r="S28" s="200"/>
    </row>
    <row r="29" spans="2:19">
      <c r="K29"/>
      <c r="L29"/>
      <c r="M29"/>
    </row>
    <row r="30" spans="2:19">
      <c r="K30"/>
      <c r="L30"/>
      <c r="M30"/>
    </row>
    <row r="31" spans="2:19">
      <c r="K31"/>
      <c r="L31"/>
      <c r="M31"/>
    </row>
    <row r="32" spans="2:19">
      <c r="B32" s="91" t="s">
        <v>1</v>
      </c>
      <c r="C32" s="90" t="s" vm="1">
        <v>190</v>
      </c>
      <c r="K32"/>
      <c r="L32"/>
      <c r="M32"/>
    </row>
    <row r="33" spans="2:9">
      <c r="B33" s="90"/>
      <c r="C33" s="90"/>
    </row>
    <row r="34" spans="2:9">
      <c r="B34" s="91" t="s">
        <v>130</v>
      </c>
      <c r="C34" s="90" t="s">
        <v>251</v>
      </c>
      <c r="D34" s="90" t="s">
        <v>252</v>
      </c>
      <c r="E34" s="90" t="s">
        <v>253</v>
      </c>
      <c r="F34" s="90" t="s">
        <v>133</v>
      </c>
      <c r="G34" s="90" t="s">
        <v>134</v>
      </c>
      <c r="H34" s="90" t="s">
        <v>254</v>
      </c>
      <c r="I34" s="90" t="s">
        <v>255</v>
      </c>
    </row>
    <row r="35" spans="2:9">
      <c r="B35" s="92">
        <v>2018</v>
      </c>
      <c r="C35" s="93">
        <v>19279.525813181001</v>
      </c>
      <c r="D35" s="93">
        <v>9317.8953131260005</v>
      </c>
      <c r="E35" s="93">
        <v>1876.676844503</v>
      </c>
      <c r="F35" s="93">
        <v>1027.8761043019999</v>
      </c>
      <c r="G35" s="93">
        <v>3051.8550779099996</v>
      </c>
      <c r="H35" s="93">
        <v>3262.8309589279997</v>
      </c>
      <c r="I35" s="93">
        <v>742.39151441199999</v>
      </c>
    </row>
    <row r="36" spans="2:9">
      <c r="B36" s="92">
        <v>2019</v>
      </c>
      <c r="C36" s="93">
        <v>21136.678047493999</v>
      </c>
      <c r="D36" s="93">
        <v>10012.698739790001</v>
      </c>
      <c r="E36" s="93">
        <v>2108.545672875</v>
      </c>
      <c r="F36" s="93">
        <v>1341.7417009630001</v>
      </c>
      <c r="G36" s="93">
        <v>3156.0937197439998</v>
      </c>
      <c r="H36" s="93">
        <v>3570.1626151060004</v>
      </c>
      <c r="I36" s="93">
        <v>947.43559901599997</v>
      </c>
    </row>
    <row r="37" spans="2:9">
      <c r="B37" s="92">
        <v>2020</v>
      </c>
      <c r="C37" s="93">
        <v>23526.367888614997</v>
      </c>
      <c r="D37" s="93">
        <v>10713.351976755001</v>
      </c>
      <c r="E37" s="93">
        <v>2127.0742591379999</v>
      </c>
      <c r="F37" s="93">
        <v>1518.7952569719998</v>
      </c>
      <c r="G37" s="93">
        <v>2762.062217663</v>
      </c>
      <c r="H37" s="93">
        <v>5471.1030404440007</v>
      </c>
      <c r="I37" s="93">
        <v>933.98113764300001</v>
      </c>
    </row>
    <row r="42" spans="2:9">
      <c r="B42" s="91" t="s">
        <v>1</v>
      </c>
      <c r="C42" s="90" t="s" vm="1">
        <v>190</v>
      </c>
    </row>
    <row r="43" spans="2:9">
      <c r="B43" s="90"/>
      <c r="C43" s="90"/>
    </row>
    <row r="44" spans="2:9">
      <c r="B44" s="91" t="s">
        <v>130</v>
      </c>
      <c r="C44" s="90" t="s">
        <v>256</v>
      </c>
      <c r="D44" s="90" t="s">
        <v>257</v>
      </c>
      <c r="E44" s="90" t="s">
        <v>258</v>
      </c>
      <c r="F44" s="90" t="s">
        <v>259</v>
      </c>
      <c r="G44" s="90" t="s">
        <v>260</v>
      </c>
      <c r="H44" s="91"/>
      <c r="I44" s="91"/>
    </row>
    <row r="45" spans="2:9">
      <c r="B45" s="92">
        <v>2018</v>
      </c>
      <c r="C45" s="93">
        <v>2840.7746761429999</v>
      </c>
      <c r="D45" s="111">
        <v>408.5609502314307</v>
      </c>
      <c r="E45" s="93">
        <v>1.2271733299323464</v>
      </c>
      <c r="F45" s="111">
        <v>277.30872864851619</v>
      </c>
      <c r="G45" s="111">
        <v>131.2522215829145</v>
      </c>
    </row>
    <row r="46" spans="2:9">
      <c r="B46" s="92">
        <v>2019</v>
      </c>
      <c r="C46" s="93">
        <v>3505.6159294939998</v>
      </c>
      <c r="D46" s="111">
        <v>504.17859161048477</v>
      </c>
      <c r="E46" s="93">
        <v>1.4726128334232456</v>
      </c>
      <c r="F46" s="111">
        <v>377.19183617626027</v>
      </c>
      <c r="G46" s="111">
        <v>126.98675543422452</v>
      </c>
    </row>
    <row r="47" spans="2:9">
      <c r="B47" s="92">
        <v>2020</v>
      </c>
      <c r="C47" s="93">
        <v>4591.2709311398676</v>
      </c>
      <c r="D47" s="111">
        <v>660.31777534123012</v>
      </c>
      <c r="E47" s="93">
        <v>1.9190473337185834</v>
      </c>
      <c r="F47" s="111">
        <v>552.91720170492192</v>
      </c>
      <c r="G47" s="111">
        <v>107.40057363630828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CZ225"/>
  <sheetViews>
    <sheetView zoomScale="85" zoomScaleNormal="85" workbookViewId="0">
      <pane xSplit="2" ySplit="2" topLeftCell="M180" activePane="bottomRight" state="frozen"/>
      <selection activeCell="K28" sqref="K28"/>
      <selection pane="topRight" activeCell="K28" sqref="K28"/>
      <selection pane="bottomLeft" activeCell="K28" sqref="K28"/>
      <selection pane="bottomRight" activeCell="N209" sqref="N209"/>
    </sheetView>
  </sheetViews>
  <sheetFormatPr baseColWidth="10" defaultRowHeight="15" outlineLevelCol="2"/>
  <cols>
    <col min="1" max="1" width="5.140625" customWidth="1"/>
    <col min="5" max="5" width="36.42578125" customWidth="1"/>
    <col min="6" max="6" width="24.140625" customWidth="1"/>
    <col min="7" max="7" width="26.140625" customWidth="1"/>
    <col min="8" max="8" width="24.5703125" customWidth="1"/>
    <col min="9" max="9" width="24.5703125" style="90" customWidth="1"/>
    <col min="10" max="10" width="17.28515625" customWidth="1"/>
    <col min="11" max="12" width="17.28515625" style="90" customWidth="1"/>
    <col min="13" max="13" width="20.5703125" customWidth="1" outlineLevel="1"/>
    <col min="14" max="14" width="18.85546875" customWidth="1" outlineLevel="1"/>
    <col min="15" max="15" width="25.28515625" customWidth="1" outlineLevel="2"/>
    <col min="16" max="16" width="18.140625" style="90" customWidth="1" outlineLevel="2"/>
    <col min="17" max="17" width="11.42578125" customWidth="1" outlineLevel="2"/>
    <col min="18" max="20" width="11.42578125" style="90" customWidth="1" outlineLevel="2"/>
    <col min="21" max="21" width="18.7109375" customWidth="1" outlineLevel="2"/>
    <col min="22" max="22" width="22.42578125" customWidth="1" outlineLevel="2"/>
    <col min="23" max="23" width="11.42578125" customWidth="1" outlineLevel="2"/>
    <col min="24" max="24" width="11.42578125" style="90" customWidth="1" outlineLevel="2"/>
    <col min="25" max="25" width="19.7109375" customWidth="1" outlineLevel="2"/>
    <col min="26" max="26" width="23.42578125" customWidth="1" outlineLevel="2"/>
    <col min="27" max="27" width="24.140625" customWidth="1" outlineLevel="1"/>
    <col min="28" max="28" width="24.140625" style="90" customWidth="1" outlineLevel="1"/>
    <col min="29" max="29" width="24.7109375" bestFit="1" customWidth="1" outlineLevel="1"/>
    <col min="30" max="30" width="13.42578125" customWidth="1" outlineLevel="1"/>
    <col min="31" max="31" width="13.85546875" bestFit="1" customWidth="1" outlineLevel="1"/>
    <col min="32" max="32" width="24" bestFit="1" customWidth="1" outlineLevel="2"/>
    <col min="33" max="33" width="16.28515625" bestFit="1" customWidth="1" outlineLevel="1"/>
    <col min="34" max="34" width="11.42578125" customWidth="1" outlineLevel="2"/>
    <col min="35" max="35" width="8.7109375" bestFit="1" customWidth="1" outlineLevel="2"/>
    <col min="36" max="36" width="11.42578125" customWidth="1" outlineLevel="2"/>
    <col min="37" max="37" width="11.42578125" style="90" customWidth="1" outlineLevel="2"/>
    <col min="38" max="38" width="10.42578125" bestFit="1" customWidth="1" outlineLevel="2"/>
    <col min="39" max="39" width="12.42578125" customWidth="1" outlineLevel="2"/>
    <col min="40" max="40" width="12.42578125" style="90" customWidth="1" outlineLevel="2"/>
    <col min="41" max="41" width="23" customWidth="1"/>
    <col min="42" max="42" width="23.140625" customWidth="1"/>
    <col min="43" max="43" width="21.85546875" customWidth="1"/>
    <col min="44" max="44" width="21.85546875" style="90" customWidth="1"/>
    <col min="45" max="47" width="21.85546875" style="79" customWidth="1"/>
    <col min="48" max="48" width="21.140625" bestFit="1" customWidth="1" outlineLevel="1"/>
    <col min="49" max="49" width="11.42578125" customWidth="1" outlineLevel="2"/>
    <col min="50" max="54" width="11.42578125" style="90" customWidth="1" outlineLevel="2"/>
    <col min="55" max="55" width="22.7109375" customWidth="1" outlineLevel="2"/>
    <col min="56" max="56" width="25.42578125" customWidth="1" outlineLevel="1"/>
    <col min="57" max="57" width="23.85546875" customWidth="1" outlineLevel="2"/>
    <col min="58" max="58" width="11.42578125" bestFit="1" customWidth="1" outlineLevel="2"/>
    <col min="59" max="59" width="20.42578125" customWidth="1" outlineLevel="1"/>
    <col min="60" max="60" width="20.42578125" style="90" customWidth="1" outlineLevel="1"/>
    <col min="61" max="61" width="20.85546875" bestFit="1" customWidth="1" outlineLevel="2"/>
    <col min="62" max="62" width="14.42578125" customWidth="1" outlineLevel="1"/>
    <col min="63" max="63" width="14.85546875" bestFit="1" customWidth="1"/>
    <col min="64" max="64" width="26.140625" style="90" customWidth="1"/>
    <col min="65" max="69" width="17.140625" style="79" customWidth="1"/>
    <col min="70" max="70" width="16.42578125" bestFit="1" customWidth="1"/>
    <col min="71" max="71" width="18.7109375" customWidth="1"/>
    <col min="72" max="72" width="11.42578125" customWidth="1" outlineLevel="1"/>
    <col min="73" max="77" width="11.42578125" style="90" customWidth="1" outlineLevel="1"/>
    <col min="78" max="78" width="17.85546875" customWidth="1" outlineLevel="1"/>
    <col min="79" max="80" width="17.85546875" style="90" customWidth="1" outlineLevel="1"/>
    <col min="81" max="81" width="17.140625" customWidth="1" outlineLevel="1"/>
    <col min="82" max="82" width="8.5703125" bestFit="1" customWidth="1" outlineLevel="1"/>
    <col min="83" max="83" width="17.42578125" bestFit="1" customWidth="1"/>
    <col min="84" max="84" width="16.28515625" bestFit="1" customWidth="1" outlineLevel="1"/>
    <col min="85" max="85" width="25.42578125" bestFit="1" customWidth="1" outlineLevel="1"/>
    <col min="86" max="86" width="35.7109375" bestFit="1" customWidth="1" outlineLevel="1"/>
    <col min="87" max="87" width="35.7109375" style="90" customWidth="1" outlineLevel="1"/>
    <col min="88" max="88" width="26" bestFit="1" customWidth="1"/>
    <col min="89" max="93" width="26" style="90" customWidth="1"/>
    <col min="94" max="94" width="26.140625" bestFit="1" customWidth="1"/>
    <col min="97" max="101" width="11.5703125" style="111"/>
  </cols>
  <sheetData>
    <row r="1" spans="1:104" s="90" customFormat="1">
      <c r="AS1" s="79"/>
      <c r="AT1" s="79"/>
      <c r="AU1" s="79"/>
      <c r="BM1" s="79"/>
      <c r="BN1" s="79"/>
      <c r="BO1" s="79"/>
      <c r="BP1" s="79"/>
      <c r="BQ1" s="79"/>
      <c r="CS1" s="111" t="s">
        <v>185</v>
      </c>
      <c r="CT1" s="111"/>
      <c r="CU1" s="111"/>
      <c r="CV1" s="111"/>
      <c r="CW1" s="111"/>
    </row>
    <row r="2" spans="1:104">
      <c r="A2" s="16" t="s">
        <v>115</v>
      </c>
      <c r="B2" s="16" t="s">
        <v>0</v>
      </c>
      <c r="C2" s="16" t="s">
        <v>1</v>
      </c>
      <c r="D2" s="16" t="s">
        <v>2</v>
      </c>
      <c r="E2" s="16" t="s">
        <v>3</v>
      </c>
      <c r="F2" s="16" t="s">
        <v>4</v>
      </c>
      <c r="G2" s="16" t="s">
        <v>5</v>
      </c>
      <c r="H2" s="16" t="s">
        <v>116</v>
      </c>
      <c r="I2" s="16" t="s">
        <v>149</v>
      </c>
      <c r="J2" s="16" t="s">
        <v>137</v>
      </c>
      <c r="K2" s="16" t="s">
        <v>146</v>
      </c>
      <c r="L2" s="16" t="s">
        <v>147</v>
      </c>
      <c r="M2" s="16" t="s">
        <v>148</v>
      </c>
      <c r="N2" s="16" t="s">
        <v>6</v>
      </c>
      <c r="O2" s="16" t="s">
        <v>110</v>
      </c>
      <c r="P2" s="16" t="s">
        <v>174</v>
      </c>
      <c r="Q2" s="16" t="s">
        <v>138</v>
      </c>
      <c r="R2" s="16" t="s">
        <v>175</v>
      </c>
      <c r="S2" s="16" t="s">
        <v>176</v>
      </c>
      <c r="T2" s="16" t="s">
        <v>177</v>
      </c>
      <c r="U2" s="16" t="s">
        <v>7</v>
      </c>
      <c r="V2" s="16" t="s">
        <v>139</v>
      </c>
      <c r="W2" s="78" t="s">
        <v>109</v>
      </c>
      <c r="X2" s="123" t="s">
        <v>188</v>
      </c>
      <c r="Y2" s="16" t="s">
        <v>8</v>
      </c>
      <c r="Z2" s="16" t="s">
        <v>140</v>
      </c>
      <c r="AA2" s="78" t="s">
        <v>108</v>
      </c>
      <c r="AB2" s="123" t="s">
        <v>189</v>
      </c>
      <c r="AC2" s="16" t="s">
        <v>9</v>
      </c>
      <c r="AD2" s="16" t="s">
        <v>119</v>
      </c>
      <c r="AE2" s="16" t="s">
        <v>10</v>
      </c>
      <c r="AF2" s="16" t="s">
        <v>120</v>
      </c>
      <c r="AG2" s="16" t="s">
        <v>11</v>
      </c>
      <c r="AH2" s="16" t="s">
        <v>111</v>
      </c>
      <c r="AI2" s="16" t="s">
        <v>12</v>
      </c>
      <c r="AJ2" s="16" t="s">
        <v>112</v>
      </c>
      <c r="AK2" s="16" t="s">
        <v>165</v>
      </c>
      <c r="AL2" s="16" t="s">
        <v>13</v>
      </c>
      <c r="AM2" s="16" t="s">
        <v>113</v>
      </c>
      <c r="AN2" s="16" t="s">
        <v>166</v>
      </c>
      <c r="AO2" s="16" t="s">
        <v>122</v>
      </c>
      <c r="AP2" s="16" t="s">
        <v>14</v>
      </c>
      <c r="AQ2" s="16" t="s">
        <v>117</v>
      </c>
      <c r="AR2" s="16" t="s">
        <v>150</v>
      </c>
      <c r="AS2" s="16" t="s">
        <v>141</v>
      </c>
      <c r="AT2" s="16" t="s">
        <v>151</v>
      </c>
      <c r="AU2" s="16" t="s">
        <v>152</v>
      </c>
      <c r="AV2" s="16" t="s">
        <v>118</v>
      </c>
      <c r="AW2" s="16" t="s">
        <v>35</v>
      </c>
      <c r="AX2" s="16" t="s">
        <v>169</v>
      </c>
      <c r="AY2" s="16" t="s">
        <v>170</v>
      </c>
      <c r="AZ2" s="16" t="s">
        <v>171</v>
      </c>
      <c r="BA2" s="16" t="s">
        <v>172</v>
      </c>
      <c r="BB2" s="16" t="s">
        <v>173</v>
      </c>
      <c r="BC2" s="16" t="s">
        <v>43</v>
      </c>
      <c r="BD2" s="16" t="s">
        <v>42</v>
      </c>
      <c r="BE2" s="16" t="s">
        <v>36</v>
      </c>
      <c r="BF2" s="16" t="s">
        <v>37</v>
      </c>
      <c r="BG2" s="16" t="s">
        <v>46</v>
      </c>
      <c r="BH2" s="16" t="s">
        <v>186</v>
      </c>
      <c r="BI2" s="16" t="s">
        <v>123</v>
      </c>
      <c r="BJ2" s="16" t="s">
        <v>38</v>
      </c>
      <c r="BK2" s="16" t="s">
        <v>39</v>
      </c>
      <c r="BL2" s="16" t="s">
        <v>15</v>
      </c>
      <c r="BM2" s="16" t="s">
        <v>153</v>
      </c>
      <c r="BN2" s="16" t="s">
        <v>143</v>
      </c>
      <c r="BO2" s="16" t="s">
        <v>154</v>
      </c>
      <c r="BP2" s="16" t="s">
        <v>155</v>
      </c>
      <c r="BQ2" s="16" t="s">
        <v>156</v>
      </c>
      <c r="BR2" s="16" t="s">
        <v>121</v>
      </c>
      <c r="BS2" s="16" t="s">
        <v>144</v>
      </c>
      <c r="BT2" s="16" t="s">
        <v>40</v>
      </c>
      <c r="BU2" s="16" t="s">
        <v>157</v>
      </c>
      <c r="BV2" s="16" t="s">
        <v>142</v>
      </c>
      <c r="BW2" s="16" t="s">
        <v>158</v>
      </c>
      <c r="BX2" s="16" t="s">
        <v>159</v>
      </c>
      <c r="BY2" s="16" t="s">
        <v>160</v>
      </c>
      <c r="BZ2" s="16" t="s">
        <v>125</v>
      </c>
      <c r="CA2" s="16" t="s">
        <v>167</v>
      </c>
      <c r="CB2" s="16" t="s">
        <v>168</v>
      </c>
      <c r="CC2" s="16" t="s">
        <v>145</v>
      </c>
      <c r="CD2" s="16" t="s">
        <v>41</v>
      </c>
      <c r="CE2" s="16" t="s">
        <v>126</v>
      </c>
      <c r="CF2" s="16" t="s">
        <v>124</v>
      </c>
      <c r="CG2" s="16" t="s">
        <v>127</v>
      </c>
      <c r="CH2" s="16" t="s">
        <v>16</v>
      </c>
      <c r="CI2" s="16" t="s">
        <v>161</v>
      </c>
      <c r="CJ2" s="16" t="s">
        <v>18</v>
      </c>
      <c r="CK2" s="16" t="s">
        <v>234</v>
      </c>
      <c r="CL2" s="16" t="s">
        <v>235</v>
      </c>
      <c r="CM2" s="16" t="s">
        <v>164</v>
      </c>
      <c r="CN2" s="16" t="s">
        <v>162</v>
      </c>
      <c r="CO2" s="16" t="s">
        <v>163</v>
      </c>
      <c r="CP2" s="16" t="s">
        <v>17</v>
      </c>
      <c r="CQ2" s="16" t="s">
        <v>19</v>
      </c>
      <c r="CR2" s="16" t="s">
        <v>128</v>
      </c>
      <c r="CS2" s="112" t="s">
        <v>184</v>
      </c>
      <c r="CT2" s="112" t="s">
        <v>179</v>
      </c>
      <c r="CU2" s="112" t="s">
        <v>180</v>
      </c>
      <c r="CV2" s="112" t="s">
        <v>181</v>
      </c>
      <c r="CW2" s="112" t="s">
        <v>182</v>
      </c>
      <c r="CX2" s="16" t="s">
        <v>183</v>
      </c>
      <c r="CY2" s="16" t="s">
        <v>268</v>
      </c>
      <c r="CZ2" s="16" t="s">
        <v>269</v>
      </c>
    </row>
    <row r="3" spans="1:104">
      <c r="A3">
        <v>1</v>
      </c>
      <c r="B3" s="3">
        <v>37622</v>
      </c>
      <c r="C3" s="14" t="str">
        <f t="shared" ref="C3:C66" si="0">VLOOKUP(MONTH(B3),Meses,2,0)</f>
        <v>Enero</v>
      </c>
      <c r="D3" s="14">
        <f>YEAR(B3)</f>
        <v>2003</v>
      </c>
      <c r="E3" s="15">
        <f t="shared" ref="E3:E66" si="1">VLOOKUP(D3,PIBNOMG,2,0)</f>
        <v>49411.959699781924</v>
      </c>
      <c r="F3" s="15">
        <f t="shared" ref="F3:F34" si="2">VLOOKUP(D3,cambio,2,0)</f>
        <v>6435.5050000000001</v>
      </c>
      <c r="G3" s="56">
        <v>392.11764131300004</v>
      </c>
      <c r="H3" s="4">
        <f>G3/E3*100</f>
        <v>0.79356828528039658</v>
      </c>
      <c r="I3" s="4">
        <f>SUMIFS($G$3:$G3,$D$3:$D3,D3)</f>
        <v>392.11764131300004</v>
      </c>
      <c r="J3" s="2"/>
      <c r="K3" s="94"/>
      <c r="L3" s="94"/>
      <c r="M3" s="94"/>
      <c r="N3" s="4">
        <v>244.56120121400002</v>
      </c>
      <c r="O3" s="4">
        <f t="shared" ref="O3:O66" si="3">N3/E3*100</f>
        <v>0.49494333497377835</v>
      </c>
      <c r="P3" s="4">
        <f>SUMIFS($N$3:$N3,$D$3:$D3,D3)</f>
        <v>244.56120121400002</v>
      </c>
      <c r="Q3" s="4"/>
      <c r="R3" s="96"/>
      <c r="S3" s="96"/>
      <c r="T3" s="96"/>
      <c r="U3" s="4">
        <v>113.23915580099998</v>
      </c>
      <c r="V3" s="4"/>
      <c r="W3" s="96"/>
      <c r="X3" s="96"/>
      <c r="Y3" s="4">
        <v>140.66900691199999</v>
      </c>
      <c r="Z3" s="4"/>
      <c r="AA3" s="96"/>
      <c r="AB3" s="96"/>
      <c r="AC3" s="4">
        <v>27.201640638000001</v>
      </c>
      <c r="AD3" s="4">
        <f t="shared" ref="AD3:AD66" si="4">AC3/E3*100</f>
        <v>5.5050722139482464E-2</v>
      </c>
      <c r="AE3" s="4">
        <v>6.7242951330000009</v>
      </c>
      <c r="AF3" s="4">
        <f t="shared" ref="AF3:AF66" si="5">AE3/E3*100</f>
        <v>1.3608638827230481E-2</v>
      </c>
      <c r="AG3" s="4">
        <v>113.630504328</v>
      </c>
      <c r="AH3" s="4">
        <f t="shared" ref="AH3:AH66" si="6">AG3*1000/F3</f>
        <v>17.656812375718765</v>
      </c>
      <c r="AI3" s="4">
        <v>101.411030383</v>
      </c>
      <c r="AJ3" s="4">
        <f t="shared" ref="AJ3:AJ66" si="7">AI3*1000/$F$207</f>
        <v>14.584960674699184</v>
      </c>
      <c r="AK3" s="101">
        <f>SUMIFS($AJ$3:$AJ3,$D$3:$D3,D3)</f>
        <v>14.584960674699184</v>
      </c>
      <c r="AL3" s="4">
        <v>1.1418978</v>
      </c>
      <c r="AM3" s="4">
        <f t="shared" ref="AM3:AM66" si="8">AL3*1000/$F$207</f>
        <v>0.16422803756776927</v>
      </c>
      <c r="AN3" s="101">
        <f>SUMIFS($AM$3:$AM3,$D$3:$D3,D3)</f>
        <v>0.16422803756776927</v>
      </c>
      <c r="AO3" s="4">
        <f>+AG3-AI3-AL3</f>
        <v>11.077576145000004</v>
      </c>
      <c r="AP3" s="56">
        <v>376.33426336899998</v>
      </c>
      <c r="AQ3" s="4">
        <f t="shared" ref="AQ3:AQ66" si="9">+AP3/E3*100</f>
        <v>0.7616258607339973</v>
      </c>
      <c r="AR3" s="4">
        <f>SUMIFS($AP$3:$AP3,$D$3:$D3,D3)</f>
        <v>376.33426336899998</v>
      </c>
      <c r="AS3" s="4"/>
      <c r="AT3" s="96"/>
      <c r="AU3" s="96"/>
      <c r="AV3" s="96"/>
      <c r="AW3" s="4">
        <v>196.165527328</v>
      </c>
      <c r="AX3" s="4">
        <f>SUMIFS($AW$3:$AW3,$D$3:$D3,D3)</f>
        <v>196.165527328</v>
      </c>
      <c r="AY3" s="4"/>
      <c r="AZ3" s="96"/>
      <c r="BA3" s="96"/>
      <c r="BB3" s="96"/>
      <c r="BC3" s="4">
        <v>160.154668434</v>
      </c>
      <c r="BD3" s="4">
        <f>+AW3-BC3</f>
        <v>36.010858893999995</v>
      </c>
      <c r="BE3" s="4">
        <v>15.416901769000001</v>
      </c>
      <c r="BF3" s="4">
        <v>76.454265444000015</v>
      </c>
      <c r="BG3" s="4">
        <f t="shared" ref="BG3:BG66" si="10">+BF3/$F$207*1000</f>
        <v>10.995672272556648</v>
      </c>
      <c r="BH3" s="4">
        <f>Datos1[[#This Row],[Intereses]]/Datos1[[#This Row],[PIB nominal (miles de millones de G.)]]*100</f>
        <v>0.15472825993650571</v>
      </c>
      <c r="BI3" s="4">
        <v>16.948533831999999</v>
      </c>
      <c r="BJ3" s="4">
        <v>71.074951000000013</v>
      </c>
      <c r="BK3" s="4">
        <v>0.274083996</v>
      </c>
      <c r="BL3" s="56">
        <f t="shared" ref="BL3:BL34" si="11">+G3-AP3</f>
        <v>15.783377944000051</v>
      </c>
      <c r="BM3" s="56">
        <f>SUMIFS($BL$3:$BL3,$D$3:$D3,D3)</f>
        <v>15.783377944000051</v>
      </c>
      <c r="BN3" s="56"/>
      <c r="BO3" s="99"/>
      <c r="BP3" s="99"/>
      <c r="BQ3" s="99"/>
      <c r="BR3" s="2">
        <f t="shared" ref="BR3:BR66" si="12">BL3/E3*100</f>
        <v>3.1942424546399263E-2</v>
      </c>
      <c r="BS3" s="2">
        <f>+Datos1[[#This Row],[RON acumulado 12 meses]]/Datos1[[#This Row],[PIB nominal (miles de millones de G.)]]*100</f>
        <v>0</v>
      </c>
      <c r="BT3" s="56">
        <v>25.762257559999998</v>
      </c>
      <c r="BU3" s="56">
        <f>SUMIFS($BT$3:$BT3,$D$3:$D3,D3)</f>
        <v>25.762257559999998</v>
      </c>
      <c r="BV3" s="56"/>
      <c r="BW3" s="99"/>
      <c r="BX3" s="99"/>
      <c r="BY3" s="99"/>
      <c r="BZ3" s="56">
        <f t="shared" ref="BZ3:BZ66" si="13">BT3*1000/$F$207</f>
        <v>3.7051345596727026</v>
      </c>
      <c r="CA3" s="56">
        <f>Datos1[[#This Row],[Adquisición Neta de Activos no Financieros]]/Datos1[[#This Row],[PIB nominal (miles de millones de G.)]]*100</f>
        <v>5.2137696453503947E-2</v>
      </c>
      <c r="CB3" s="56">
        <f>+Datos1[[#This Row],[ANANF acumulado por año]]/Datos1[[#This Row],[PIB nominal (miles de millones de G.)]]*100</f>
        <v>5.2137696453503947E-2</v>
      </c>
      <c r="CC3" s="56">
        <f>+Datos1[[#This Row],[ANANF acumulado 12 meses]]/Datos1[[#This Row],[PIB nominal (miles de millones de G.)]]*100</f>
        <v>0</v>
      </c>
      <c r="CD3" s="4">
        <v>0.10956412</v>
      </c>
      <c r="CE3" s="4">
        <f t="shared" ref="CE3:CE66" si="14">CD3*1000/$F$207</f>
        <v>1.5757540136638833E-2</v>
      </c>
      <c r="CF3" s="4">
        <f t="shared" ref="CF3:CF66" si="15">+BT3-CD3</f>
        <v>25.652693439999997</v>
      </c>
      <c r="CG3" s="4">
        <f t="shared" ref="CG3:CG66" si="16">CF3*1000/$F$207</f>
        <v>3.6893770195360633</v>
      </c>
      <c r="CH3" s="56">
        <f t="shared" ref="CH3:CH66" si="17">+BL3-BT3</f>
        <v>-9.9788796159999471</v>
      </c>
      <c r="CI3" s="56">
        <f>SUMIFS($CH$3:$CH3,$D$3:$D3,D3)</f>
        <v>-9.9788796159999471</v>
      </c>
      <c r="CJ3" s="56"/>
      <c r="CK3" s="56">
        <f>Datos1[[#This Row],[Resultado Fiscal (miles de millones de G.)]]*1000/$F$207</f>
        <v>-1.4351650528275703</v>
      </c>
      <c r="CL3" s="56"/>
      <c r="CM3" s="99"/>
      <c r="CN3" s="99"/>
      <c r="CO3" s="99"/>
      <c r="CP3" s="4">
        <f t="shared" ref="CP3:CP66" si="18">+CH3/E3*100</f>
        <v>-2.0195271907104684E-2</v>
      </c>
      <c r="CR3" s="73">
        <v>208.573506885</v>
      </c>
      <c r="CS3" s="113">
        <f>SUM(Datos1[[#This Row],[FFPP]:[MTESS]])</f>
        <v>0</v>
      </c>
      <c r="CT3" s="113"/>
      <c r="CU3" s="113"/>
      <c r="CV3" s="113"/>
      <c r="CW3" s="113"/>
      <c r="CX3" s="113"/>
      <c r="CY3" s="113"/>
      <c r="CZ3" s="113"/>
    </row>
    <row r="4" spans="1:104">
      <c r="A4">
        <v>2</v>
      </c>
      <c r="B4" s="3">
        <v>37653</v>
      </c>
      <c r="C4" s="14" t="str">
        <f t="shared" si="0"/>
        <v>Febrero</v>
      </c>
      <c r="D4" s="14">
        <f t="shared" ref="D4:D67" si="19">YEAR(B4)</f>
        <v>2003</v>
      </c>
      <c r="E4" s="15">
        <f t="shared" si="1"/>
        <v>49411.959699781924</v>
      </c>
      <c r="F4" s="15">
        <f t="shared" si="2"/>
        <v>6435.5050000000001</v>
      </c>
      <c r="G4" s="56">
        <v>394.27035070800002</v>
      </c>
      <c r="H4" s="4">
        <f t="shared" ref="H4:H67" si="20">G4/E4*100</f>
        <v>0.79792494186329577</v>
      </c>
      <c r="I4" s="4">
        <f>SUMIFS($G$3:$G4,$D$3:$D4,D4)</f>
        <v>786.38799202100006</v>
      </c>
      <c r="J4" s="2"/>
      <c r="K4" s="94"/>
      <c r="L4" s="94"/>
      <c r="M4" s="94"/>
      <c r="N4" s="4">
        <v>230.05253460700001</v>
      </c>
      <c r="O4" s="4">
        <f t="shared" si="3"/>
        <v>0.46558067319077678</v>
      </c>
      <c r="P4" s="4">
        <f>SUMIFS($N$3:$N4,$D$3:$D4,D4)</f>
        <v>474.61373582100003</v>
      </c>
      <c r="Q4" s="4"/>
      <c r="R4" s="96"/>
      <c r="S4" s="96"/>
      <c r="T4" s="96"/>
      <c r="U4" s="4">
        <v>111.464619541</v>
      </c>
      <c r="V4" s="4"/>
      <c r="W4" s="97"/>
      <c r="X4" s="97"/>
      <c r="Y4" s="4">
        <v>124.72866450399999</v>
      </c>
      <c r="Z4" s="4"/>
      <c r="AA4" s="97"/>
      <c r="AB4" s="97"/>
      <c r="AC4" s="4">
        <v>22.460921858000003</v>
      </c>
      <c r="AD4" s="4">
        <f t="shared" si="4"/>
        <v>4.5456448184748137E-2</v>
      </c>
      <c r="AE4" s="4">
        <v>9.7691791820000002</v>
      </c>
      <c r="AF4" s="4">
        <f t="shared" si="5"/>
        <v>1.977087984640916E-2</v>
      </c>
      <c r="AG4" s="4">
        <v>131.98771506100002</v>
      </c>
      <c r="AH4" s="4">
        <f t="shared" si="6"/>
        <v>20.509301921294448</v>
      </c>
      <c r="AI4" s="4">
        <v>100.910634315</v>
      </c>
      <c r="AJ4" s="4">
        <f t="shared" si="7"/>
        <v>14.512993582500332</v>
      </c>
      <c r="AK4" s="101">
        <f>SUMIFS($AJ$3:$AJ4,$D$3:$D4,D4)</f>
        <v>29.097954257199518</v>
      </c>
      <c r="AL4" s="4">
        <v>10.603341796</v>
      </c>
      <c r="AM4" s="4">
        <f t="shared" si="8"/>
        <v>1.5249753654113234</v>
      </c>
      <c r="AN4" s="101">
        <f>SUMIFS($AM$3:$AM4,$D$3:$D4,D4)</f>
        <v>1.6892034029790928</v>
      </c>
      <c r="AO4" s="4">
        <f t="shared" ref="AO4:AO67" si="21">+AG4-AI4-AL4</f>
        <v>20.473738950000019</v>
      </c>
      <c r="AP4" s="56">
        <v>351.72453450200004</v>
      </c>
      <c r="AQ4" s="4">
        <f t="shared" si="9"/>
        <v>0.71182065362113611</v>
      </c>
      <c r="AR4" s="4">
        <f>SUMIFS($AP$3:$AP4,$D$3:$D4,D4)</f>
        <v>728.05879787100002</v>
      </c>
      <c r="AS4" s="4"/>
      <c r="AT4" s="96"/>
      <c r="AU4" s="96"/>
      <c r="AV4" s="96"/>
      <c r="AW4" s="4">
        <v>209.08686356500002</v>
      </c>
      <c r="AX4" s="4">
        <f>SUMIFS($AW$3:$AW4,$D$3:$D4,D4)</f>
        <v>405.25239089299998</v>
      </c>
      <c r="AY4" s="4"/>
      <c r="AZ4" s="96"/>
      <c r="BA4" s="96"/>
      <c r="BB4" s="96"/>
      <c r="BC4" s="4">
        <v>166.63791953</v>
      </c>
      <c r="BD4" s="4">
        <f t="shared" ref="BD4:BD67" si="22">+AW4-BC4</f>
        <v>42.448944035000011</v>
      </c>
      <c r="BE4" s="4">
        <v>26.839379637</v>
      </c>
      <c r="BF4" s="4">
        <v>22.676430415999999</v>
      </c>
      <c r="BG4" s="4">
        <f t="shared" si="10"/>
        <v>3.2613300999982253</v>
      </c>
      <c r="BH4" s="4">
        <f>Datos1[[#This Row],[Intereses]]/Datos1[[#This Row],[PIB nominal (miles de millones de G.)]]*100</f>
        <v>4.589259473572363E-2</v>
      </c>
      <c r="BI4" s="4">
        <v>20.394368132999997</v>
      </c>
      <c r="BJ4" s="4">
        <v>71.449133728999996</v>
      </c>
      <c r="BK4" s="4">
        <v>1.2783590220000001</v>
      </c>
      <c r="BL4" s="56">
        <f t="shared" si="11"/>
        <v>42.545816205999984</v>
      </c>
      <c r="BM4" s="56">
        <f>SUMIFS($BL$3:$BL4,$D$3:$D4,D4)</f>
        <v>58.329194150000035</v>
      </c>
      <c r="BN4" s="56"/>
      <c r="BO4" s="99"/>
      <c r="BP4" s="99"/>
      <c r="BQ4" s="99"/>
      <c r="BR4" s="2">
        <f t="shared" si="12"/>
        <v>8.6104288242159627E-2</v>
      </c>
      <c r="BS4" s="2">
        <f>+Datos1[[#This Row],[RON acumulado 12 meses]]/Datos1[[#This Row],[PIB nominal (miles de millones de G.)]]*100</f>
        <v>0</v>
      </c>
      <c r="BT4" s="56">
        <v>22.020817347999998</v>
      </c>
      <c r="BU4" s="56">
        <f>SUMIFS($BT$3:$BT4,$D$3:$D4,D4)</f>
        <v>47.783074907999996</v>
      </c>
      <c r="BV4" s="56"/>
      <c r="BW4" s="99"/>
      <c r="BX4" s="99"/>
      <c r="BY4" s="99"/>
      <c r="BZ4" s="56">
        <f t="shared" si="13"/>
        <v>3.1670396586282314</v>
      </c>
      <c r="CA4" s="56">
        <f>Datos1[[#This Row],[Adquisición Neta de Activos no Financieros]]/Datos1[[#This Row],[PIB nominal (miles de millones de G.)]]*100</f>
        <v>4.4565764000850154E-2</v>
      </c>
      <c r="CB4" s="56">
        <f>+Datos1[[#This Row],[ANANF acumulado por año]]/Datos1[[#This Row],[PIB nominal (miles de millones de G.)]]*100</f>
        <v>9.6703460454354101E-2</v>
      </c>
      <c r="CC4" s="56">
        <f>+Datos1[[#This Row],[ANANF acumulado 12 meses]]/Datos1[[#This Row],[PIB nominal (miles de millones de G.)]]*100</f>
        <v>0</v>
      </c>
      <c r="CD4" s="4">
        <v>9.110442879999999</v>
      </c>
      <c r="CE4" s="4">
        <f t="shared" si="14"/>
        <v>1.3102662563634468</v>
      </c>
      <c r="CF4" s="4">
        <f t="shared" si="15"/>
        <v>12.910374467999999</v>
      </c>
      <c r="CG4" s="4">
        <f t="shared" si="16"/>
        <v>1.8567734022647848</v>
      </c>
      <c r="CH4" s="56">
        <f t="shared" si="17"/>
        <v>20.524998857999986</v>
      </c>
      <c r="CI4" s="56">
        <f>SUMIFS($CH$3:$CH4,$D$3:$D4,D4)</f>
        <v>10.546119242000039</v>
      </c>
      <c r="CJ4" s="56"/>
      <c r="CK4" s="56">
        <f>Datos1[[#This Row],[Resultado Fiscal (miles de millones de G.)]]*1000/$F$207</f>
        <v>2.9519106556909409</v>
      </c>
      <c r="CL4" s="56"/>
      <c r="CM4" s="99"/>
      <c r="CN4" s="99"/>
      <c r="CO4" s="99"/>
      <c r="CP4" s="4">
        <f t="shared" si="18"/>
        <v>4.153852424130948E-2</v>
      </c>
      <c r="CR4" s="73">
        <v>218.13215947200001</v>
      </c>
      <c r="CS4" s="113">
        <f>SUM(Datos1[[#This Row],[FFPP]:[MTESS]])</f>
        <v>0</v>
      </c>
      <c r="CT4" s="113"/>
      <c r="CU4" s="113"/>
      <c r="CV4" s="113"/>
      <c r="CW4" s="113"/>
      <c r="CX4" s="113"/>
      <c r="CY4" s="113"/>
      <c r="CZ4" s="113"/>
    </row>
    <row r="5" spans="1:104">
      <c r="A5">
        <v>3</v>
      </c>
      <c r="B5" s="3">
        <v>37681</v>
      </c>
      <c r="C5" s="14" t="str">
        <f t="shared" si="0"/>
        <v>Marzo</v>
      </c>
      <c r="D5" s="14">
        <f t="shared" si="19"/>
        <v>2003</v>
      </c>
      <c r="E5" s="15">
        <f t="shared" si="1"/>
        <v>49411.959699781924</v>
      </c>
      <c r="F5" s="15">
        <f t="shared" si="2"/>
        <v>6435.5050000000001</v>
      </c>
      <c r="G5" s="56">
        <v>411.83554843400009</v>
      </c>
      <c r="H5" s="4">
        <f t="shared" si="20"/>
        <v>0.83347341602364677</v>
      </c>
      <c r="I5" s="4">
        <f>SUMIFS($G$3:$G5,$D$3:$D5,D5)</f>
        <v>1198.2235404550001</v>
      </c>
      <c r="J5" s="2"/>
      <c r="K5" s="94"/>
      <c r="L5" s="94"/>
      <c r="M5" s="94"/>
      <c r="N5" s="4">
        <v>241.67726519700003</v>
      </c>
      <c r="O5" s="4">
        <f t="shared" si="3"/>
        <v>0.48910682082918205</v>
      </c>
      <c r="P5" s="4">
        <f>SUMIFS($N$3:$N5,$D$3:$D5,D5)</f>
        <v>716.29100101800009</v>
      </c>
      <c r="Q5" s="4"/>
      <c r="R5" s="96"/>
      <c r="S5" s="96"/>
      <c r="T5" s="96"/>
      <c r="U5" s="4">
        <v>112.22408309800001</v>
      </c>
      <c r="V5" s="4"/>
      <c r="W5" s="97"/>
      <c r="X5" s="97"/>
      <c r="Y5" s="4">
        <v>123.32330347200001</v>
      </c>
      <c r="Z5" s="4"/>
      <c r="AA5" s="97"/>
      <c r="AB5" s="97"/>
      <c r="AC5" s="4">
        <v>25.578385024999999</v>
      </c>
      <c r="AD5" s="4">
        <f t="shared" si="4"/>
        <v>5.1765574934509E-2</v>
      </c>
      <c r="AE5" s="4">
        <v>9.771326363</v>
      </c>
      <c r="AF5" s="4">
        <f t="shared" si="5"/>
        <v>1.9775225314617759E-2</v>
      </c>
      <c r="AG5" s="4">
        <v>134.808571849</v>
      </c>
      <c r="AH5" s="4">
        <f t="shared" si="6"/>
        <v>20.947629105874363</v>
      </c>
      <c r="AI5" s="4">
        <v>103.60947633000001</v>
      </c>
      <c r="AJ5" s="4">
        <f t="shared" si="7"/>
        <v>14.901141740618243</v>
      </c>
      <c r="AK5" s="101">
        <f>SUMIFS($AJ$3:$AJ5,$D$3:$D5,D5)</f>
        <v>43.999095997817761</v>
      </c>
      <c r="AL5" s="4">
        <v>0</v>
      </c>
      <c r="AM5" s="4">
        <f t="shared" si="8"/>
        <v>0</v>
      </c>
      <c r="AN5" s="101">
        <f>SUMIFS($AM$3:$AM5,$D$3:$D5,D5)</f>
        <v>1.6892034029790928</v>
      </c>
      <c r="AO5" s="4">
        <f t="shared" si="21"/>
        <v>31.199095518999997</v>
      </c>
      <c r="AP5" s="56">
        <v>402.88276834099997</v>
      </c>
      <c r="AQ5" s="4">
        <f t="shared" si="9"/>
        <v>0.81535476590858225</v>
      </c>
      <c r="AR5" s="4">
        <f>SUMIFS($AP$3:$AP5,$D$3:$D5,D5)</f>
        <v>1130.941566212</v>
      </c>
      <c r="AS5" s="4"/>
      <c r="AT5" s="96"/>
      <c r="AU5" s="96"/>
      <c r="AV5" s="96"/>
      <c r="AW5" s="4">
        <v>207.29839046299995</v>
      </c>
      <c r="AX5" s="4">
        <f>SUMIFS($AW$3:$AW5,$D$3:$D5,D5)</f>
        <v>612.5507813559999</v>
      </c>
      <c r="AY5" s="4"/>
      <c r="AZ5" s="96"/>
      <c r="BA5" s="96"/>
      <c r="BB5" s="96"/>
      <c r="BC5" s="4">
        <v>163.73567663200001</v>
      </c>
      <c r="BD5" s="4">
        <f t="shared" si="22"/>
        <v>43.56271383099994</v>
      </c>
      <c r="BE5" s="4">
        <v>45.261757400999997</v>
      </c>
      <c r="BF5" s="4">
        <v>32.289546029</v>
      </c>
      <c r="BG5" s="4">
        <f t="shared" si="10"/>
        <v>4.6438908791109217</v>
      </c>
      <c r="BH5" s="4">
        <f>Datos1[[#This Row],[Intereses]]/Datos1[[#This Row],[PIB nominal (miles de millones de G.)]]*100</f>
        <v>6.5347632891278568E-2</v>
      </c>
      <c r="BI5" s="4">
        <v>35.348987037999997</v>
      </c>
      <c r="BJ5" s="4">
        <v>72.577503191999995</v>
      </c>
      <c r="BK5" s="4">
        <v>10.106584218</v>
      </c>
      <c r="BL5" s="56">
        <f t="shared" si="11"/>
        <v>8.9527800930001149</v>
      </c>
      <c r="BM5" s="56">
        <f>SUMIFS($BL$3:$BL5,$D$3:$D5,D5)</f>
        <v>67.28197424300015</v>
      </c>
      <c r="BN5" s="56"/>
      <c r="BO5" s="99"/>
      <c r="BP5" s="99"/>
      <c r="BQ5" s="99"/>
      <c r="BR5" s="2">
        <f t="shared" si="12"/>
        <v>1.8118650115064406E-2</v>
      </c>
      <c r="BS5" s="2">
        <f>+Datos1[[#This Row],[RON acumulado 12 meses]]/Datos1[[#This Row],[PIB nominal (miles de millones de G.)]]*100</f>
        <v>0</v>
      </c>
      <c r="BT5" s="56">
        <v>52.647348098000002</v>
      </c>
      <c r="BU5" s="56">
        <f>SUMIFS($BT$3:$BT5,$D$3:$D5,D5)</f>
        <v>100.430423006</v>
      </c>
      <c r="BV5" s="56"/>
      <c r="BW5" s="99"/>
      <c r="BX5" s="99"/>
      <c r="BY5" s="99"/>
      <c r="BZ5" s="56">
        <f t="shared" si="13"/>
        <v>7.5717552492716687</v>
      </c>
      <c r="CA5" s="56">
        <f>Datos1[[#This Row],[Adquisición Neta de Activos no Financieros]]/Datos1[[#This Row],[PIB nominal (miles de millones de G.)]]*100</f>
        <v>0.10654778401398307</v>
      </c>
      <c r="CB5" s="56">
        <f>+Datos1[[#This Row],[ANANF acumulado por año]]/Datos1[[#This Row],[PIB nominal (miles de millones de G.)]]*100</f>
        <v>0.20325124446833714</v>
      </c>
      <c r="CC5" s="56">
        <f>+Datos1[[#This Row],[ANANF acumulado 12 meses]]/Datos1[[#This Row],[PIB nominal (miles de millones de G.)]]*100</f>
        <v>0</v>
      </c>
      <c r="CD5" s="4">
        <v>20.718592136000002</v>
      </c>
      <c r="CE5" s="4">
        <f t="shared" si="14"/>
        <v>2.9797532911109008</v>
      </c>
      <c r="CF5" s="4">
        <f t="shared" si="15"/>
        <v>31.928755962</v>
      </c>
      <c r="CG5" s="4">
        <f t="shared" si="16"/>
        <v>4.5920019581607683</v>
      </c>
      <c r="CH5" s="56">
        <f t="shared" si="17"/>
        <v>-43.694568004999887</v>
      </c>
      <c r="CI5" s="56">
        <f>SUMIFS($CH$3:$CH5,$D$3:$D5,D5)</f>
        <v>-33.148448762999848</v>
      </c>
      <c r="CJ5" s="56"/>
      <c r="CK5" s="56">
        <f>Datos1[[#This Row],[Resultado Fiscal (miles de millones de G.)]]*1000/$F$207</f>
        <v>-6.2841640957996159</v>
      </c>
      <c r="CL5" s="56"/>
      <c r="CM5" s="99"/>
      <c r="CN5" s="99"/>
      <c r="CO5" s="99"/>
      <c r="CP5" s="4">
        <f t="shared" si="18"/>
        <v>-8.8429133898918655E-2</v>
      </c>
      <c r="CR5" s="73">
        <v>219.524031216</v>
      </c>
      <c r="CS5" s="113">
        <f>SUM(Datos1[[#This Row],[FFPP]:[MTESS]])</f>
        <v>0</v>
      </c>
      <c r="CT5" s="113"/>
      <c r="CU5" s="113"/>
      <c r="CV5" s="113"/>
      <c r="CW5" s="113"/>
      <c r="CX5" s="113"/>
      <c r="CY5" s="113"/>
      <c r="CZ5" s="113"/>
    </row>
    <row r="6" spans="1:104">
      <c r="A6">
        <v>4</v>
      </c>
      <c r="B6" s="3">
        <v>37712</v>
      </c>
      <c r="C6" s="14" t="str">
        <f t="shared" si="0"/>
        <v>Abril</v>
      </c>
      <c r="D6" s="14">
        <f t="shared" si="19"/>
        <v>2003</v>
      </c>
      <c r="E6" s="15">
        <f t="shared" si="1"/>
        <v>49411.959699781924</v>
      </c>
      <c r="F6" s="15">
        <f t="shared" si="2"/>
        <v>6435.5050000000001</v>
      </c>
      <c r="G6" s="56">
        <v>511.77784363899997</v>
      </c>
      <c r="H6" s="4">
        <f t="shared" si="20"/>
        <v>1.035736786697935</v>
      </c>
      <c r="I6" s="4">
        <f>SUMIFS($G$3:$G6,$D$3:$D6,D6)</f>
        <v>1710.0013840940001</v>
      </c>
      <c r="J6" s="2"/>
      <c r="K6" s="94"/>
      <c r="L6" s="94"/>
      <c r="M6" s="94"/>
      <c r="N6" s="4">
        <v>298.08057372799999</v>
      </c>
      <c r="O6" s="4">
        <f t="shared" si="3"/>
        <v>0.6032559233414001</v>
      </c>
      <c r="P6" s="4">
        <f>SUMIFS($N$3:$N6,$D$3:$D6,D6)</f>
        <v>1014.3715747460001</v>
      </c>
      <c r="Q6" s="4"/>
      <c r="R6" s="96"/>
      <c r="S6" s="96"/>
      <c r="T6" s="96"/>
      <c r="U6" s="4">
        <v>162.893943718</v>
      </c>
      <c r="V6" s="4"/>
      <c r="W6" s="97"/>
      <c r="X6" s="97"/>
      <c r="Y6" s="4">
        <v>141.92733436899999</v>
      </c>
      <c r="Z6" s="4"/>
      <c r="AA6" s="97"/>
      <c r="AB6" s="97"/>
      <c r="AC6" s="4">
        <v>24.680733203999999</v>
      </c>
      <c r="AD6" s="4">
        <f t="shared" si="4"/>
        <v>4.994890579923493E-2</v>
      </c>
      <c r="AE6" s="4">
        <v>49.877721969000007</v>
      </c>
      <c r="AF6" s="4">
        <f t="shared" si="5"/>
        <v>0.10094261039644647</v>
      </c>
      <c r="AG6" s="4">
        <v>139.13881473800001</v>
      </c>
      <c r="AH6" s="4">
        <f t="shared" si="6"/>
        <v>21.620496719060899</v>
      </c>
      <c r="AI6" s="4">
        <v>101.262843027</v>
      </c>
      <c r="AJ6" s="4">
        <f t="shared" si="7"/>
        <v>14.563648330750159</v>
      </c>
      <c r="AK6" s="101">
        <f>SUMIFS($AJ$3:$AJ6,$D$3:$D6,D6)</f>
        <v>58.562744328567916</v>
      </c>
      <c r="AL6" s="4">
        <v>-1.1418978</v>
      </c>
      <c r="AM6" s="4">
        <f t="shared" si="8"/>
        <v>-0.16422803756776927</v>
      </c>
      <c r="AN6" s="101">
        <f>SUMIFS($AM$3:$AM6,$D$3:$D6,D6)</f>
        <v>1.5249753654113234</v>
      </c>
      <c r="AO6" s="4">
        <f t="shared" si="21"/>
        <v>39.017869511000008</v>
      </c>
      <c r="AP6" s="56">
        <v>377.49722816799999</v>
      </c>
      <c r="AQ6" s="4">
        <f t="shared" si="9"/>
        <v>0.76397947068200578</v>
      </c>
      <c r="AR6" s="4">
        <f>SUMIFS($AP$3:$AP6,$D$3:$D6,D6)</f>
        <v>1508.43879438</v>
      </c>
      <c r="AS6" s="4"/>
      <c r="AT6" s="96"/>
      <c r="AU6" s="96"/>
      <c r="AV6" s="96"/>
      <c r="AW6" s="4">
        <v>209.09971150199999</v>
      </c>
      <c r="AX6" s="4">
        <f>SUMIFS($AW$3:$AW6,$D$3:$D6,D6)</f>
        <v>821.65049285799989</v>
      </c>
      <c r="AY6" s="4"/>
      <c r="AZ6" s="96"/>
      <c r="BA6" s="96"/>
      <c r="BB6" s="96"/>
      <c r="BC6" s="4">
        <v>163.72667362000001</v>
      </c>
      <c r="BD6" s="4">
        <f t="shared" si="22"/>
        <v>45.373037881999977</v>
      </c>
      <c r="BE6" s="4">
        <v>39.383021779000003</v>
      </c>
      <c r="BF6" s="4">
        <v>16.430751633</v>
      </c>
      <c r="BG6" s="4">
        <f t="shared" si="10"/>
        <v>2.3630749585917501</v>
      </c>
      <c r="BH6" s="4">
        <f>Datos1[[#This Row],[Intereses]]/Datos1[[#This Row],[PIB nominal (miles de millones de G.)]]*100</f>
        <v>3.3252580413386267E-2</v>
      </c>
      <c r="BI6" s="4">
        <v>32.908623631000005</v>
      </c>
      <c r="BJ6" s="4">
        <v>73.087695015999998</v>
      </c>
      <c r="BK6" s="4">
        <v>6.587424607</v>
      </c>
      <c r="BL6" s="56">
        <f t="shared" si="11"/>
        <v>134.28061547099998</v>
      </c>
      <c r="BM6" s="56">
        <f>SUMIFS($BL$3:$BL6,$D$3:$D6,D6)</f>
        <v>201.56258971400013</v>
      </c>
      <c r="BN6" s="56"/>
      <c r="BO6" s="99"/>
      <c r="BP6" s="99"/>
      <c r="BQ6" s="99"/>
      <c r="BR6" s="2">
        <f t="shared" si="12"/>
        <v>0.27175731601592923</v>
      </c>
      <c r="BS6" s="2">
        <f>+Datos1[[#This Row],[RON acumulado 12 meses]]/Datos1[[#This Row],[PIB nominal (miles de millones de G.)]]*100</f>
        <v>0</v>
      </c>
      <c r="BT6" s="56">
        <v>82.581996313999994</v>
      </c>
      <c r="BU6" s="56">
        <f>SUMIFS($BT$3:$BT6,$D$3:$D6,D6)</f>
        <v>183.01241931999999</v>
      </c>
      <c r="BV6" s="56"/>
      <c r="BW6" s="99"/>
      <c r="BX6" s="99"/>
      <c r="BY6" s="99"/>
      <c r="BZ6" s="56">
        <f t="shared" si="13"/>
        <v>11.876964114544203</v>
      </c>
      <c r="CA6" s="56">
        <f>Datos1[[#This Row],[Adquisición Neta de Activos no Financieros]]/Datos1[[#This Row],[PIB nominal (miles de millones de G.)]]*100</f>
        <v>0.16712957109119569</v>
      </c>
      <c r="CB6" s="56">
        <f>+Datos1[[#This Row],[ANANF acumulado por año]]/Datos1[[#This Row],[PIB nominal (miles de millones de G.)]]*100</f>
        <v>0.37038081555953284</v>
      </c>
      <c r="CC6" s="56">
        <f>+Datos1[[#This Row],[ANANF acumulado 12 meses]]/Datos1[[#This Row],[PIB nominal (miles de millones de G.)]]*100</f>
        <v>0</v>
      </c>
      <c r="CD6" s="4">
        <v>40.505077608999997</v>
      </c>
      <c r="CE6" s="4">
        <f t="shared" si="14"/>
        <v>5.8254507603537391</v>
      </c>
      <c r="CF6" s="4">
        <f t="shared" si="15"/>
        <v>42.076918704999997</v>
      </c>
      <c r="CG6" s="4">
        <f t="shared" si="16"/>
        <v>6.0515133541904653</v>
      </c>
      <c r="CH6" s="56">
        <f t="shared" si="17"/>
        <v>51.698619156999982</v>
      </c>
      <c r="CI6" s="56">
        <f>SUMIFS($CH$3:$CH6,$D$3:$D6,D6)</f>
        <v>18.550170394000133</v>
      </c>
      <c r="CJ6" s="56"/>
      <c r="CK6" s="56">
        <f>Datos1[[#This Row],[Resultado Fiscal (miles de millones de G.)]]*1000/$F$207</f>
        <v>7.4353088070732678</v>
      </c>
      <c r="CL6" s="56"/>
      <c r="CM6" s="99"/>
      <c r="CN6" s="99"/>
      <c r="CO6" s="99"/>
      <c r="CP6" s="4">
        <f t="shared" si="18"/>
        <v>0.10462774492473358</v>
      </c>
      <c r="CR6" s="73">
        <v>220.866544186</v>
      </c>
      <c r="CS6" s="113">
        <f>SUM(Datos1[[#This Row],[FFPP]:[MTESS]])</f>
        <v>0</v>
      </c>
      <c r="CT6" s="113"/>
      <c r="CU6" s="113"/>
      <c r="CV6" s="113"/>
      <c r="CW6" s="113"/>
      <c r="CX6" s="113"/>
      <c r="CY6" s="113"/>
      <c r="CZ6" s="113"/>
    </row>
    <row r="7" spans="1:104">
      <c r="A7">
        <v>5</v>
      </c>
      <c r="B7" s="3">
        <v>37742</v>
      </c>
      <c r="C7" s="14" t="str">
        <f t="shared" si="0"/>
        <v>Mayo</v>
      </c>
      <c r="D7" s="14">
        <f t="shared" si="19"/>
        <v>2003</v>
      </c>
      <c r="E7" s="15">
        <f t="shared" si="1"/>
        <v>49411.959699781924</v>
      </c>
      <c r="F7" s="15">
        <f t="shared" si="2"/>
        <v>6435.5050000000001</v>
      </c>
      <c r="G7" s="56">
        <v>457.252635457</v>
      </c>
      <c r="H7" s="4">
        <f t="shared" si="20"/>
        <v>0.92538858655917267</v>
      </c>
      <c r="I7" s="4">
        <f>SUMIFS($G$3:$G7,$D$3:$D7,D7)</f>
        <v>2167.2540195510001</v>
      </c>
      <c r="J7" s="2"/>
      <c r="K7" s="94"/>
      <c r="L7" s="94"/>
      <c r="M7" s="94"/>
      <c r="N7" s="4">
        <v>309.41371962699998</v>
      </c>
      <c r="O7" s="4">
        <f t="shared" si="3"/>
        <v>0.62619196143391487</v>
      </c>
      <c r="P7" s="4">
        <f>SUMIFS($N$3:$N7,$D$3:$D7,D7)</f>
        <v>1323.7852943729999</v>
      </c>
      <c r="Q7" s="4"/>
      <c r="R7" s="96"/>
      <c r="S7" s="96"/>
      <c r="T7" s="96"/>
      <c r="U7" s="4">
        <v>155.45728490499997</v>
      </c>
      <c r="V7" s="4"/>
      <c r="W7" s="97"/>
      <c r="X7" s="97"/>
      <c r="Y7" s="4">
        <v>149.89688672599999</v>
      </c>
      <c r="Z7" s="4"/>
      <c r="AA7" s="97"/>
      <c r="AB7" s="97"/>
      <c r="AC7" s="4">
        <v>23.472517772</v>
      </c>
      <c r="AD7" s="4">
        <f t="shared" si="4"/>
        <v>4.7503717550598568E-2</v>
      </c>
      <c r="AE7" s="4">
        <v>6.3143864589999996</v>
      </c>
      <c r="AF7" s="4">
        <f t="shared" si="5"/>
        <v>1.277906502264849E-2</v>
      </c>
      <c r="AG7" s="4">
        <v>118.052011599</v>
      </c>
      <c r="AH7" s="4">
        <f t="shared" si="6"/>
        <v>18.343861375136836</v>
      </c>
      <c r="AI7" s="4">
        <v>88.748399896999999</v>
      </c>
      <c r="AJ7" s="4">
        <f t="shared" si="7"/>
        <v>12.763817876139113</v>
      </c>
      <c r="AK7" s="101">
        <f>SUMIFS($AJ$3:$AJ7,$D$3:$D7,D7)</f>
        <v>71.326562204707031</v>
      </c>
      <c r="AL7" s="4">
        <v>0</v>
      </c>
      <c r="AM7" s="4">
        <f t="shared" si="8"/>
        <v>0</v>
      </c>
      <c r="AN7" s="101">
        <f>SUMIFS($AM$3:$AM7,$D$3:$D7,D7)</f>
        <v>1.5249753654113234</v>
      </c>
      <c r="AO7" s="4">
        <f t="shared" si="21"/>
        <v>29.303611701999998</v>
      </c>
      <c r="AP7" s="56">
        <v>396.34515204499996</v>
      </c>
      <c r="AQ7" s="4">
        <f t="shared" si="9"/>
        <v>0.80212392799864851</v>
      </c>
      <c r="AR7" s="4">
        <f>SUMIFS($AP$3:$AP7,$D$3:$D7,D7)</f>
        <v>1904.7839464250001</v>
      </c>
      <c r="AS7" s="4"/>
      <c r="AT7" s="96"/>
      <c r="AU7" s="96"/>
      <c r="AV7" s="96"/>
      <c r="AW7" s="4">
        <v>207.85288039899999</v>
      </c>
      <c r="AX7" s="4">
        <f>SUMIFS($AW$3:$AW7,$D$3:$D7,D7)</f>
        <v>1029.5033732569998</v>
      </c>
      <c r="AY7" s="4"/>
      <c r="AZ7" s="96"/>
      <c r="BA7" s="96"/>
      <c r="BB7" s="96"/>
      <c r="BC7" s="4">
        <v>164.251851668</v>
      </c>
      <c r="BD7" s="4">
        <f t="shared" si="22"/>
        <v>43.601028730999985</v>
      </c>
      <c r="BE7" s="4">
        <v>37.357555803999993</v>
      </c>
      <c r="BF7" s="4">
        <v>30.107207293000002</v>
      </c>
      <c r="BG7" s="4">
        <f t="shared" si="10"/>
        <v>4.330026356452759</v>
      </c>
      <c r="BH7" s="4">
        <f>Datos1[[#This Row],[Intereses]]/Datos1[[#This Row],[PIB nominal (miles de millones de G.)]]*100</f>
        <v>6.0931012402515326E-2</v>
      </c>
      <c r="BI7" s="4">
        <v>44.055768280999999</v>
      </c>
      <c r="BJ7" s="4">
        <v>73.691335201999991</v>
      </c>
      <c r="BK7" s="4">
        <v>3.2804050659999997</v>
      </c>
      <c r="BL7" s="56">
        <f t="shared" si="11"/>
        <v>60.907483412000033</v>
      </c>
      <c r="BM7" s="56">
        <f>SUMIFS($BL$3:$BL7,$D$3:$D7,D7)</f>
        <v>262.47007312600016</v>
      </c>
      <c r="BN7" s="56"/>
      <c r="BO7" s="99"/>
      <c r="BP7" s="99"/>
      <c r="BQ7" s="99"/>
      <c r="BR7" s="2">
        <f t="shared" si="12"/>
        <v>0.12326465856052425</v>
      </c>
      <c r="BS7" s="2">
        <f>+Datos1[[#This Row],[RON acumulado 12 meses]]/Datos1[[#This Row],[PIB nominal (miles de millones de G.)]]*100</f>
        <v>0</v>
      </c>
      <c r="BT7" s="56">
        <v>86.711182594000007</v>
      </c>
      <c r="BU7" s="56">
        <f>SUMIFS($BT$3:$BT7,$D$3:$D7,D7)</f>
        <v>269.72360191400003</v>
      </c>
      <c r="BV7" s="56"/>
      <c r="BW7" s="99"/>
      <c r="BX7" s="99"/>
      <c r="BY7" s="99"/>
      <c r="BZ7" s="56">
        <f t="shared" si="13"/>
        <v>12.470824755589454</v>
      </c>
      <c r="CA7" s="56">
        <f>Datos1[[#This Row],[Adquisición Neta de Activos no Financieros]]/Datos1[[#This Row],[PIB nominal (miles de millones de G.)]]*100</f>
        <v>0.17548622463233876</v>
      </c>
      <c r="CB7" s="56">
        <f>+Datos1[[#This Row],[ANANF acumulado por año]]/Datos1[[#This Row],[PIB nominal (miles de millones de G.)]]*100</f>
        <v>0.54586704019187171</v>
      </c>
      <c r="CC7" s="56">
        <f>+Datos1[[#This Row],[ANANF acumulado 12 meses]]/Datos1[[#This Row],[PIB nominal (miles de millones de G.)]]*100</f>
        <v>0</v>
      </c>
      <c r="CD7" s="4">
        <v>42.991355712000001</v>
      </c>
      <c r="CE7" s="4">
        <f t="shared" si="14"/>
        <v>6.1830279215527595</v>
      </c>
      <c r="CF7" s="4">
        <f t="shared" si="15"/>
        <v>43.719826882000007</v>
      </c>
      <c r="CG7" s="4">
        <f t="shared" si="16"/>
        <v>6.2877968340366941</v>
      </c>
      <c r="CH7" s="56">
        <f t="shared" si="17"/>
        <v>-25.803699181999974</v>
      </c>
      <c r="CI7" s="56">
        <f>SUMIFS($CH$3:$CH7,$D$3:$D7,D7)</f>
        <v>-7.2535287879998407</v>
      </c>
      <c r="CJ7" s="56"/>
      <c r="CK7" s="56">
        <f>Datos1[[#This Row],[Resultado Fiscal (miles de millones de G.)]]*1000/$F$207</f>
        <v>-3.7110947044901121</v>
      </c>
      <c r="CL7" s="56"/>
      <c r="CM7" s="99"/>
      <c r="CN7" s="99"/>
      <c r="CO7" s="99"/>
      <c r="CP7" s="4">
        <f t="shared" si="18"/>
        <v>-5.2221566071814503E-2</v>
      </c>
      <c r="CR7" s="73">
        <v>219.46174000600001</v>
      </c>
      <c r="CS7" s="113">
        <f>SUM(Datos1[[#This Row],[FFPP]:[MTESS]])</f>
        <v>0</v>
      </c>
      <c r="CT7" s="113"/>
      <c r="CU7" s="113"/>
      <c r="CV7" s="113"/>
      <c r="CW7" s="113"/>
      <c r="CX7" s="113"/>
      <c r="CY7" s="113"/>
      <c r="CZ7" s="113"/>
    </row>
    <row r="8" spans="1:104">
      <c r="A8">
        <v>6</v>
      </c>
      <c r="B8" s="3">
        <v>37773</v>
      </c>
      <c r="C8" s="14" t="str">
        <f t="shared" si="0"/>
        <v>Junio</v>
      </c>
      <c r="D8" s="14">
        <f t="shared" si="19"/>
        <v>2003</v>
      </c>
      <c r="E8" s="15">
        <f t="shared" si="1"/>
        <v>49411.959699781924</v>
      </c>
      <c r="F8" s="15">
        <f t="shared" si="2"/>
        <v>6435.5050000000001</v>
      </c>
      <c r="G8" s="56">
        <v>400.08869956600006</v>
      </c>
      <c r="H8" s="4">
        <f t="shared" si="20"/>
        <v>0.80970012522649615</v>
      </c>
      <c r="I8" s="4">
        <f>SUMIFS($G$3:$G8,$D$3:$D8,D8)</f>
        <v>2567.3427191170003</v>
      </c>
      <c r="J8" s="2"/>
      <c r="K8" s="94"/>
      <c r="L8" s="94"/>
      <c r="M8" s="94"/>
      <c r="N8" s="4">
        <v>246.446525796</v>
      </c>
      <c r="O8" s="4">
        <f t="shared" si="3"/>
        <v>0.49875885776108508</v>
      </c>
      <c r="P8" s="4">
        <f>SUMIFS($N$3:$N8,$D$3:$D8,D8)</f>
        <v>1570.231820169</v>
      </c>
      <c r="Q8" s="4"/>
      <c r="R8" s="96"/>
      <c r="S8" s="96"/>
      <c r="T8" s="96"/>
      <c r="U8" s="4">
        <v>109.87301905599999</v>
      </c>
      <c r="V8" s="4"/>
      <c r="W8" s="97"/>
      <c r="X8" s="97"/>
      <c r="Y8" s="4">
        <v>149.312787813</v>
      </c>
      <c r="Z8" s="4"/>
      <c r="AA8" s="97"/>
      <c r="AB8" s="97"/>
      <c r="AC8" s="4">
        <v>24.173465101999998</v>
      </c>
      <c r="AD8" s="4">
        <f t="shared" si="4"/>
        <v>4.89222958345987E-2</v>
      </c>
      <c r="AE8" s="4">
        <v>6.7740429559999997</v>
      </c>
      <c r="AF8" s="4">
        <f t="shared" si="5"/>
        <v>1.3709318547893774E-2</v>
      </c>
      <c r="AG8" s="4">
        <v>122.69466571199999</v>
      </c>
      <c r="AH8" s="4">
        <f t="shared" si="6"/>
        <v>19.065273931416414</v>
      </c>
      <c r="AI8" s="4">
        <v>94.992328103999995</v>
      </c>
      <c r="AJ8" s="4">
        <f t="shared" si="7"/>
        <v>13.661821249251533</v>
      </c>
      <c r="AK8" s="101">
        <f>SUMIFS($AJ$3:$AJ8,$D$3:$D8,D8)</f>
        <v>84.988383453958562</v>
      </c>
      <c r="AL8" s="4">
        <v>0</v>
      </c>
      <c r="AM8" s="4">
        <f t="shared" si="8"/>
        <v>0</v>
      </c>
      <c r="AN8" s="101">
        <f>SUMIFS($AM$3:$AM8,$D$3:$D8,D8)</f>
        <v>1.5249753654113234</v>
      </c>
      <c r="AO8" s="4">
        <f t="shared" si="21"/>
        <v>27.702337607999993</v>
      </c>
      <c r="AP8" s="56">
        <v>437.87283001899999</v>
      </c>
      <c r="AQ8" s="4">
        <f t="shared" si="9"/>
        <v>0.88616770652173216</v>
      </c>
      <c r="AR8" s="4">
        <f>SUMIFS($AP$3:$AP8,$D$3:$D8,D8)</f>
        <v>2342.6567764440001</v>
      </c>
      <c r="AS8" s="4"/>
      <c r="AT8" s="96"/>
      <c r="AU8" s="96"/>
      <c r="AV8" s="96"/>
      <c r="AW8" s="4">
        <v>214.37289807000002</v>
      </c>
      <c r="AX8" s="4">
        <f>SUMIFS($AW$3:$AW8,$D$3:$D8,D8)</f>
        <v>1243.8762713269998</v>
      </c>
      <c r="AY8" s="4"/>
      <c r="AZ8" s="96"/>
      <c r="BA8" s="96"/>
      <c r="BB8" s="96"/>
      <c r="BC8" s="4">
        <v>169.77460725399999</v>
      </c>
      <c r="BD8" s="4">
        <f t="shared" si="22"/>
        <v>44.598290816000031</v>
      </c>
      <c r="BE8" s="4">
        <v>36.067608192000002</v>
      </c>
      <c r="BF8" s="4">
        <v>58.480218084000001</v>
      </c>
      <c r="BG8" s="4">
        <f t="shared" si="10"/>
        <v>8.4106401224965062</v>
      </c>
      <c r="BH8" s="4">
        <f>Datos1[[#This Row],[Intereses]]/Datos1[[#This Row],[PIB nominal (miles de millones de G.)]]*100</f>
        <v>0.11835235525835276</v>
      </c>
      <c r="BI8" s="4">
        <v>49.244186841000001</v>
      </c>
      <c r="BJ8" s="4">
        <v>75.193315506999994</v>
      </c>
      <c r="BK8" s="4">
        <v>4.5146033250000004</v>
      </c>
      <c r="BL8" s="56">
        <f t="shared" si="11"/>
        <v>-37.784130452999932</v>
      </c>
      <c r="BM8" s="56">
        <f>SUMIFS($BL$3:$BL8,$D$3:$D8,D8)</f>
        <v>224.68594267300023</v>
      </c>
      <c r="BN8" s="56"/>
      <c r="BO8" s="99"/>
      <c r="BP8" s="99"/>
      <c r="BQ8" s="99"/>
      <c r="BR8" s="2">
        <f t="shared" si="12"/>
        <v>-7.6467581295235884E-2</v>
      </c>
      <c r="BS8" s="2">
        <f>+Datos1[[#This Row],[RON acumulado 12 meses]]/Datos1[[#This Row],[PIB nominal (miles de millones de G.)]]*100</f>
        <v>0</v>
      </c>
      <c r="BT8" s="56">
        <v>102.51793323</v>
      </c>
      <c r="BU8" s="56">
        <f>SUMIFS($BT$3:$BT8,$D$3:$D8,D8)</f>
        <v>372.24153514400001</v>
      </c>
      <c r="BV8" s="56"/>
      <c r="BW8" s="99"/>
      <c r="BX8" s="99"/>
      <c r="BY8" s="99"/>
      <c r="BZ8" s="56">
        <f t="shared" si="13"/>
        <v>14.74415572905605</v>
      </c>
      <c r="CA8" s="56">
        <f>Datos1[[#This Row],[Adquisición Neta de Activos no Financieros]]/Datos1[[#This Row],[PIB nominal (miles de millones de G.)]]*100</f>
        <v>0.20747595086873769</v>
      </c>
      <c r="CB8" s="56">
        <f>+Datos1[[#This Row],[ANANF acumulado por año]]/Datos1[[#This Row],[PIB nominal (miles de millones de G.)]]*100</f>
        <v>0.75334299106060931</v>
      </c>
      <c r="CC8" s="56">
        <f>+Datos1[[#This Row],[ANANF acumulado 12 meses]]/Datos1[[#This Row],[PIB nominal (miles de millones de G.)]]*100</f>
        <v>0</v>
      </c>
      <c r="CD8" s="4">
        <v>61.768524147999997</v>
      </c>
      <c r="CE8" s="4">
        <f t="shared" si="14"/>
        <v>8.8835651529264759</v>
      </c>
      <c r="CF8" s="4">
        <f t="shared" si="15"/>
        <v>40.749409082</v>
      </c>
      <c r="CG8" s="4">
        <f t="shared" si="16"/>
        <v>5.8605905761295745</v>
      </c>
      <c r="CH8" s="56">
        <f t="shared" si="17"/>
        <v>-140.30206368299991</v>
      </c>
      <c r="CI8" s="56">
        <f>SUMIFS($CH$3:$CH8,$D$3:$D8,D8)</f>
        <v>-147.55559247099976</v>
      </c>
      <c r="CJ8" s="56"/>
      <c r="CK8" s="56">
        <f>Datos1[[#This Row],[Resultado Fiscal (miles de millones de G.)]]*1000/$F$207</f>
        <v>-20.178279164183756</v>
      </c>
      <c r="CL8" s="56"/>
      <c r="CM8" s="99"/>
      <c r="CN8" s="99"/>
      <c r="CO8" s="99"/>
      <c r="CP8" s="4">
        <f t="shared" si="18"/>
        <v>-0.2839435321639735</v>
      </c>
      <c r="CR8" s="73">
        <v>225.27661394399999</v>
      </c>
      <c r="CS8" s="113">
        <f>SUM(Datos1[[#This Row],[FFPP]:[MTESS]])</f>
        <v>0</v>
      </c>
      <c r="CT8" s="113"/>
      <c r="CU8" s="113"/>
      <c r="CV8" s="113"/>
      <c r="CW8" s="113"/>
      <c r="CX8" s="113"/>
      <c r="CY8" s="113"/>
      <c r="CZ8" s="113"/>
    </row>
    <row r="9" spans="1:104">
      <c r="A9">
        <v>7</v>
      </c>
      <c r="B9" s="3">
        <v>37803</v>
      </c>
      <c r="C9" s="14" t="str">
        <f t="shared" si="0"/>
        <v>Julio</v>
      </c>
      <c r="D9" s="14">
        <f t="shared" si="19"/>
        <v>2003</v>
      </c>
      <c r="E9" s="15">
        <f t="shared" si="1"/>
        <v>49411.959699781924</v>
      </c>
      <c r="F9" s="15">
        <f t="shared" si="2"/>
        <v>6435.5050000000001</v>
      </c>
      <c r="G9" s="56">
        <v>476.64580259999997</v>
      </c>
      <c r="H9" s="4">
        <f t="shared" si="20"/>
        <v>0.96463650803573286</v>
      </c>
      <c r="I9" s="4">
        <f>SUMIFS($G$3:$G9,$D$3:$D9,D9)</f>
        <v>3043.9885217170004</v>
      </c>
      <c r="J9" s="2"/>
      <c r="K9" s="94"/>
      <c r="L9" s="94"/>
      <c r="M9" s="94"/>
      <c r="N9" s="4">
        <v>324.57511357099997</v>
      </c>
      <c r="O9" s="4">
        <f t="shared" si="3"/>
        <v>0.65687561380495585</v>
      </c>
      <c r="P9" s="4">
        <f>SUMIFS($N$3:$N9,$D$3:$D9,D9)</f>
        <v>1894.80693374</v>
      </c>
      <c r="Q9" s="4"/>
      <c r="R9" s="96"/>
      <c r="S9" s="96"/>
      <c r="T9" s="96"/>
      <c r="U9" s="4">
        <v>151.25492158899999</v>
      </c>
      <c r="V9" s="4"/>
      <c r="W9" s="97"/>
      <c r="X9" s="97"/>
      <c r="Y9" s="4">
        <v>179.74798690899999</v>
      </c>
      <c r="Z9" s="4"/>
      <c r="AA9" s="97"/>
      <c r="AB9" s="97"/>
      <c r="AC9" s="4">
        <v>28.580753375</v>
      </c>
      <c r="AD9" s="4">
        <f t="shared" si="4"/>
        <v>5.7841772616693321E-2</v>
      </c>
      <c r="AE9" s="4">
        <v>5.3505752830000004</v>
      </c>
      <c r="AF9" s="4">
        <f t="shared" si="5"/>
        <v>1.0828502483020553E-2</v>
      </c>
      <c r="AG9" s="4">
        <v>118.139360371</v>
      </c>
      <c r="AH9" s="4">
        <f t="shared" si="6"/>
        <v>18.357434322714376</v>
      </c>
      <c r="AI9" s="4">
        <v>90.983169517999997</v>
      </c>
      <c r="AJ9" s="4">
        <f t="shared" si="7"/>
        <v>13.085223022267687</v>
      </c>
      <c r="AK9" s="101">
        <f>SUMIFS($AJ$3:$AJ9,$D$3:$D9,D9)</f>
        <v>98.073606476226246</v>
      </c>
      <c r="AL9" s="4">
        <v>0</v>
      </c>
      <c r="AM9" s="4">
        <f t="shared" si="8"/>
        <v>0</v>
      </c>
      <c r="AN9" s="101">
        <f>SUMIFS($AM$3:$AM9,$D$3:$D9,D9)</f>
        <v>1.5249753654113234</v>
      </c>
      <c r="AO9" s="4">
        <f t="shared" si="21"/>
        <v>27.156190852999998</v>
      </c>
      <c r="AP9" s="56">
        <v>453.23176298899995</v>
      </c>
      <c r="AQ9" s="4">
        <f t="shared" si="9"/>
        <v>0.91725113867726293</v>
      </c>
      <c r="AR9" s="4">
        <f>SUMIFS($AP$3:$AP9,$D$3:$D9,D9)</f>
        <v>2795.888539433</v>
      </c>
      <c r="AS9" s="4"/>
      <c r="AT9" s="96"/>
      <c r="AU9" s="96"/>
      <c r="AV9" s="96"/>
      <c r="AW9" s="4">
        <v>210.20843784699997</v>
      </c>
      <c r="AX9" s="4">
        <f>SUMIFS($AW$3:$AW9,$D$3:$D9,D9)</f>
        <v>1454.0847091739997</v>
      </c>
      <c r="AY9" s="4"/>
      <c r="AZ9" s="96"/>
      <c r="BA9" s="96"/>
      <c r="BB9" s="96"/>
      <c r="BC9" s="4">
        <v>167.72172409199999</v>
      </c>
      <c r="BD9" s="4">
        <f t="shared" si="22"/>
        <v>42.486713754999982</v>
      </c>
      <c r="BE9" s="4">
        <v>32.196629092000002</v>
      </c>
      <c r="BF9" s="4">
        <v>79.996660785999993</v>
      </c>
      <c r="BG9" s="4">
        <f t="shared" si="10"/>
        <v>11.505140488806706</v>
      </c>
      <c r="BH9" s="4">
        <f>Datos1[[#This Row],[Intereses]]/Datos1[[#This Row],[PIB nominal (miles de millones de G.)]]*100</f>
        <v>0.1618973650752675</v>
      </c>
      <c r="BI9" s="4">
        <v>49.688204464999998</v>
      </c>
      <c r="BJ9" s="4">
        <v>75.076807719999991</v>
      </c>
      <c r="BK9" s="4">
        <v>6.0650230790000004</v>
      </c>
      <c r="BL9" s="56">
        <f t="shared" si="11"/>
        <v>23.414039611000021</v>
      </c>
      <c r="BM9" s="56">
        <f>SUMIFS($BL$3:$BL9,$D$3:$D9,D9)</f>
        <v>248.09998228400025</v>
      </c>
      <c r="BN9" s="56"/>
      <c r="BO9" s="99"/>
      <c r="BP9" s="99"/>
      <c r="BQ9" s="99"/>
      <c r="BR9" s="2">
        <f t="shared" si="12"/>
        <v>4.7385369358470021E-2</v>
      </c>
      <c r="BS9" s="2">
        <f>+Datos1[[#This Row],[RON acumulado 12 meses]]/Datos1[[#This Row],[PIB nominal (miles de millones de G.)]]*100</f>
        <v>0</v>
      </c>
      <c r="BT9" s="56">
        <v>82.56241722499999</v>
      </c>
      <c r="BU9" s="56">
        <f>SUMIFS($BT$3:$BT9,$D$3:$D9,D9)</f>
        <v>454.803952369</v>
      </c>
      <c r="BV9" s="56"/>
      <c r="BW9" s="99"/>
      <c r="BX9" s="99"/>
      <c r="BY9" s="99"/>
      <c r="BZ9" s="56">
        <f t="shared" si="13"/>
        <v>11.874148244889462</v>
      </c>
      <c r="CA9" s="56">
        <f>Datos1[[#This Row],[Adquisición Neta de Activos no Financieros]]/Datos1[[#This Row],[PIB nominal (miles de millones de G.)]]*100</f>
        <v>0.16708994690077911</v>
      </c>
      <c r="CB9" s="56">
        <f>+Datos1[[#This Row],[ANANF acumulado por año]]/Datos1[[#This Row],[PIB nominal (miles de millones de G.)]]*100</f>
        <v>0.92043293796138848</v>
      </c>
      <c r="CC9" s="56">
        <f>+Datos1[[#This Row],[ANANF acumulado 12 meses]]/Datos1[[#This Row],[PIB nominal (miles de millones de G.)]]*100</f>
        <v>0</v>
      </c>
      <c r="CD9" s="4">
        <v>45.013548923999998</v>
      </c>
      <c r="CE9" s="4">
        <f t="shared" si="14"/>
        <v>6.4738602734406623</v>
      </c>
      <c r="CF9" s="4">
        <f t="shared" si="15"/>
        <v>37.548868300999992</v>
      </c>
      <c r="CG9" s="4">
        <f t="shared" si="16"/>
        <v>5.4002879714488001</v>
      </c>
      <c r="CH9" s="56">
        <f t="shared" si="17"/>
        <v>-59.148377613999969</v>
      </c>
      <c r="CI9" s="56">
        <f>SUMIFS($CH$3:$CH9,$D$3:$D9,D9)</f>
        <v>-206.70397008499972</v>
      </c>
      <c r="CJ9" s="56"/>
      <c r="CK9" s="56">
        <f>Datos1[[#This Row],[Resultado Fiscal (miles de millones de G.)]]*1000/$F$207</f>
        <v>-8.5067349992832888</v>
      </c>
      <c r="CL9" s="56"/>
      <c r="CM9" s="99"/>
      <c r="CN9" s="99"/>
      <c r="CO9" s="99"/>
      <c r="CP9" s="4">
        <f t="shared" si="18"/>
        <v>-0.11970457754230908</v>
      </c>
      <c r="CR9" s="73">
        <v>222.18986470199999</v>
      </c>
      <c r="CS9" s="113">
        <f>SUM(Datos1[[#This Row],[FFPP]:[MTESS]])</f>
        <v>0</v>
      </c>
      <c r="CT9" s="113"/>
      <c r="CU9" s="113"/>
      <c r="CV9" s="113"/>
      <c r="CW9" s="113"/>
      <c r="CX9" s="113"/>
      <c r="CY9" s="113"/>
      <c r="CZ9" s="113"/>
    </row>
    <row r="10" spans="1:104">
      <c r="A10">
        <v>8</v>
      </c>
      <c r="B10" s="3">
        <v>37834</v>
      </c>
      <c r="C10" s="14" t="str">
        <f t="shared" si="0"/>
        <v>Agosto</v>
      </c>
      <c r="D10" s="14">
        <f t="shared" si="19"/>
        <v>2003</v>
      </c>
      <c r="E10" s="15">
        <f t="shared" si="1"/>
        <v>49411.959699781924</v>
      </c>
      <c r="F10" s="15">
        <f t="shared" si="2"/>
        <v>6435.5050000000001</v>
      </c>
      <c r="G10" s="56">
        <v>511.86180690700002</v>
      </c>
      <c r="H10" s="4">
        <f t="shared" si="20"/>
        <v>1.0359067116887879</v>
      </c>
      <c r="I10" s="4">
        <f>SUMIFS($G$3:$G10,$D$3:$D10,D10)</f>
        <v>3555.8503286240002</v>
      </c>
      <c r="J10" s="2"/>
      <c r="K10" s="94"/>
      <c r="L10" s="94"/>
      <c r="M10" s="94"/>
      <c r="N10" s="4">
        <v>289.968789646</v>
      </c>
      <c r="O10" s="4">
        <f t="shared" si="3"/>
        <v>0.58683928224623672</v>
      </c>
      <c r="P10" s="4">
        <f>SUMIFS($N$3:$N10,$D$3:$D10,D10)</f>
        <v>2184.7757233860002</v>
      </c>
      <c r="Q10" s="4"/>
      <c r="R10" s="96"/>
      <c r="S10" s="96"/>
      <c r="T10" s="96"/>
      <c r="U10" s="4">
        <v>110.277086682</v>
      </c>
      <c r="V10" s="4"/>
      <c r="W10" s="97"/>
      <c r="X10" s="97"/>
      <c r="Y10" s="4">
        <v>176.45067619900001</v>
      </c>
      <c r="Z10" s="4"/>
      <c r="AA10" s="97"/>
      <c r="AB10" s="97"/>
      <c r="AC10" s="4">
        <v>26.070695618999999</v>
      </c>
      <c r="AD10" s="4">
        <f t="shared" si="4"/>
        <v>5.2761913871461077E-2</v>
      </c>
      <c r="AE10" s="4">
        <v>6.4212679499999998</v>
      </c>
      <c r="AF10" s="4">
        <f t="shared" si="5"/>
        <v>1.2995371948440127E-2</v>
      </c>
      <c r="AG10" s="4">
        <v>189.401053692</v>
      </c>
      <c r="AH10" s="4">
        <f t="shared" si="6"/>
        <v>29.430643545766806</v>
      </c>
      <c r="AI10" s="4">
        <v>158.455166999</v>
      </c>
      <c r="AJ10" s="4">
        <f t="shared" si="7"/>
        <v>22.789063188245855</v>
      </c>
      <c r="AK10" s="101">
        <f>SUMIFS($AJ$3:$AJ10,$D$3:$D10,D10)</f>
        <v>120.86266966447209</v>
      </c>
      <c r="AL10" s="4">
        <v>0</v>
      </c>
      <c r="AM10" s="4">
        <f t="shared" si="8"/>
        <v>0</v>
      </c>
      <c r="AN10" s="101">
        <f>SUMIFS($AM$3:$AM10,$D$3:$D10,D10)</f>
        <v>1.5249753654113234</v>
      </c>
      <c r="AO10" s="4">
        <f t="shared" si="21"/>
        <v>30.945886693000006</v>
      </c>
      <c r="AP10" s="56">
        <v>349.38579560599993</v>
      </c>
      <c r="AQ10" s="4">
        <f t="shared" si="9"/>
        <v>0.7070875102481351</v>
      </c>
      <c r="AR10" s="4">
        <f>SUMIFS($AP$3:$AP10,$D$3:$D10,D10)</f>
        <v>3145.2743350390001</v>
      </c>
      <c r="AS10" s="4"/>
      <c r="AT10" s="96"/>
      <c r="AU10" s="96"/>
      <c r="AV10" s="96"/>
      <c r="AW10" s="4">
        <v>212.59626599799992</v>
      </c>
      <c r="AX10" s="4">
        <f>SUMIFS($AW$3:$AW10,$D$3:$D10,D10)</f>
        <v>1666.6809751719998</v>
      </c>
      <c r="AY10" s="4"/>
      <c r="AZ10" s="96"/>
      <c r="BA10" s="96"/>
      <c r="BB10" s="96"/>
      <c r="BC10" s="4">
        <v>169.93583866099999</v>
      </c>
      <c r="BD10" s="4">
        <f t="shared" si="22"/>
        <v>42.660427336999931</v>
      </c>
      <c r="BE10" s="4">
        <v>10.910970483999998</v>
      </c>
      <c r="BF10" s="4">
        <v>21.761392463000004</v>
      </c>
      <c r="BG10" s="4">
        <f t="shared" si="10"/>
        <v>3.1297291044264517</v>
      </c>
      <c r="BH10" s="4">
        <f>Datos1[[#This Row],[Intereses]]/Datos1[[#This Row],[PIB nominal (miles de millones de G.)]]*100</f>
        <v>4.4040739519780769E-2</v>
      </c>
      <c r="BI10" s="4">
        <v>26.217447936000003</v>
      </c>
      <c r="BJ10" s="4">
        <v>75.158258710000013</v>
      </c>
      <c r="BK10" s="4">
        <v>2.7414600149999999</v>
      </c>
      <c r="BL10" s="56">
        <f t="shared" si="11"/>
        <v>162.47601130100009</v>
      </c>
      <c r="BM10" s="56">
        <f>SUMIFS($BL$3:$BL10,$D$3:$D10,D10)</f>
        <v>410.57599358500033</v>
      </c>
      <c r="BN10" s="56"/>
      <c r="BO10" s="99"/>
      <c r="BP10" s="99"/>
      <c r="BQ10" s="99"/>
      <c r="BR10" s="2">
        <f t="shared" si="12"/>
        <v>0.3288192014406528</v>
      </c>
      <c r="BS10" s="2">
        <f>+Datos1[[#This Row],[RON acumulado 12 meses]]/Datos1[[#This Row],[PIB nominal (miles de millones de G.)]]*100</f>
        <v>0</v>
      </c>
      <c r="BT10" s="56">
        <v>76.230442921999995</v>
      </c>
      <c r="BU10" s="56">
        <f>SUMIFS($BT$3:$BT10,$D$3:$D10,D10)</f>
        <v>531.03439529100001</v>
      </c>
      <c r="BV10" s="56"/>
      <c r="BW10" s="99"/>
      <c r="BX10" s="99"/>
      <c r="BY10" s="99"/>
      <c r="BZ10" s="56">
        <f t="shared" si="13"/>
        <v>10.963482059429403</v>
      </c>
      <c r="CA10" s="56">
        <f>Datos1[[#This Row],[Adquisición Neta de Activos no Financieros]]/Datos1[[#This Row],[PIB nominal (miles de millones de G.)]]*100</f>
        <v>0.15427528757240616</v>
      </c>
      <c r="CB10" s="56">
        <f>+Datos1[[#This Row],[ANANF acumulado por año]]/Datos1[[#This Row],[PIB nominal (miles de millones de G.)]]*100</f>
        <v>1.0747082255337945</v>
      </c>
      <c r="CC10" s="56">
        <f>+Datos1[[#This Row],[ANANF acumulado 12 meses]]/Datos1[[#This Row],[PIB nominal (miles de millones de G.)]]*100</f>
        <v>0</v>
      </c>
      <c r="CD10" s="4">
        <v>49.375944195000002</v>
      </c>
      <c r="CE10" s="4">
        <f t="shared" si="14"/>
        <v>7.1012610920176389</v>
      </c>
      <c r="CF10" s="4">
        <f t="shared" si="15"/>
        <v>26.854498726999992</v>
      </c>
      <c r="CG10" s="4">
        <f t="shared" si="16"/>
        <v>3.8622209674117656</v>
      </c>
      <c r="CH10" s="56">
        <f t="shared" si="17"/>
        <v>86.24556837900009</v>
      </c>
      <c r="CI10" s="56">
        <f>SUMIFS($CH$3:$CH10,$D$3:$D10,D10)</f>
        <v>-120.45840170599963</v>
      </c>
      <c r="CJ10" s="56"/>
      <c r="CK10" s="56">
        <f>Datos1[[#This Row],[Resultado Fiscal (miles de millones de G.)]]*1000/$F$207</f>
        <v>12.403859998504279</v>
      </c>
      <c r="CL10" s="56"/>
      <c r="CM10" s="99"/>
      <c r="CN10" s="99"/>
      <c r="CO10" s="99"/>
      <c r="CP10" s="4">
        <f t="shared" si="18"/>
        <v>0.17454391386824664</v>
      </c>
      <c r="CR10" s="73">
        <v>225.99796870899999</v>
      </c>
      <c r="CS10" s="113">
        <f>SUM(Datos1[[#This Row],[FFPP]:[MTESS]])</f>
        <v>0</v>
      </c>
      <c r="CT10" s="113"/>
      <c r="CU10" s="113"/>
      <c r="CV10" s="113"/>
      <c r="CW10" s="113"/>
      <c r="CX10" s="113"/>
      <c r="CY10" s="113"/>
      <c r="CZ10" s="113"/>
    </row>
    <row r="11" spans="1:104">
      <c r="A11">
        <v>9</v>
      </c>
      <c r="B11" s="3">
        <v>37865</v>
      </c>
      <c r="C11" s="14" t="str">
        <f t="shared" si="0"/>
        <v>Septiembre</v>
      </c>
      <c r="D11" s="14">
        <f t="shared" si="19"/>
        <v>2003</v>
      </c>
      <c r="E11" s="15">
        <f t="shared" si="1"/>
        <v>49411.959699781924</v>
      </c>
      <c r="F11" s="15">
        <f t="shared" si="2"/>
        <v>6435.5050000000001</v>
      </c>
      <c r="G11" s="56">
        <v>534.06887736700003</v>
      </c>
      <c r="H11" s="4">
        <f t="shared" si="20"/>
        <v>1.0808494150240253</v>
      </c>
      <c r="I11" s="4">
        <f>SUMIFS($G$3:$G11,$D$3:$D11,D11)</f>
        <v>4089.9192059910001</v>
      </c>
      <c r="J11" s="2"/>
      <c r="K11" s="94"/>
      <c r="L11" s="94"/>
      <c r="M11" s="94"/>
      <c r="N11" s="4">
        <v>366.28685517099996</v>
      </c>
      <c r="O11" s="4">
        <f t="shared" si="3"/>
        <v>0.74129190057729388</v>
      </c>
      <c r="P11" s="4">
        <f>SUMIFS($N$3:$N11,$D$3:$D11,D11)</f>
        <v>2551.0625785570001</v>
      </c>
      <c r="Q11" s="4"/>
      <c r="R11" s="96"/>
      <c r="S11" s="96"/>
      <c r="T11" s="96"/>
      <c r="U11" s="4">
        <v>166.361373781</v>
      </c>
      <c r="V11" s="4"/>
      <c r="W11" s="97"/>
      <c r="X11" s="97"/>
      <c r="Y11" s="4">
        <v>203.39216827599998</v>
      </c>
      <c r="Z11" s="4"/>
      <c r="AA11" s="97"/>
      <c r="AB11" s="97"/>
      <c r="AC11" s="4">
        <v>29.259335387</v>
      </c>
      <c r="AD11" s="4">
        <f t="shared" si="4"/>
        <v>5.9215087935743489E-2</v>
      </c>
      <c r="AE11" s="4">
        <v>8.8968127680000002</v>
      </c>
      <c r="AF11" s="4">
        <f t="shared" si="5"/>
        <v>1.8005383356692217E-2</v>
      </c>
      <c r="AG11" s="4">
        <v>129.62587404100003</v>
      </c>
      <c r="AH11" s="4">
        <f t="shared" si="6"/>
        <v>20.142300260974086</v>
      </c>
      <c r="AI11" s="4">
        <v>91.140826400999998</v>
      </c>
      <c r="AJ11" s="4">
        <f t="shared" si="7"/>
        <v>13.107897276044287</v>
      </c>
      <c r="AK11" s="101">
        <f>SUMIFS($AJ$3:$AJ11,$D$3:$D11,D11)</f>
        <v>133.97056694051639</v>
      </c>
      <c r="AL11" s="4">
        <v>6.22</v>
      </c>
      <c r="AM11" s="4">
        <f t="shared" si="8"/>
        <v>0.89456201217965814</v>
      </c>
      <c r="AN11" s="101">
        <f>SUMIFS($AM$3:$AM11,$D$3:$D11,D11)</f>
        <v>2.4195373775909816</v>
      </c>
      <c r="AO11" s="4">
        <f t="shared" si="21"/>
        <v>32.265047640000034</v>
      </c>
      <c r="AP11" s="56">
        <v>363.67520497399994</v>
      </c>
      <c r="AQ11" s="4">
        <f t="shared" si="9"/>
        <v>0.73600643889379069</v>
      </c>
      <c r="AR11" s="4">
        <f>SUMIFS($AP$3:$AP11,$D$3:$D11,D11)</f>
        <v>3508.9495400129999</v>
      </c>
      <c r="AS11" s="4"/>
      <c r="AT11" s="96"/>
      <c r="AU11" s="96"/>
      <c r="AV11" s="96"/>
      <c r="AW11" s="4">
        <v>211.30034427699999</v>
      </c>
      <c r="AX11" s="4">
        <f>SUMIFS($AW$3:$AW11,$D$3:$D11,D11)</f>
        <v>1877.9813194489998</v>
      </c>
      <c r="AY11" s="4"/>
      <c r="AZ11" s="96"/>
      <c r="BA11" s="96"/>
      <c r="BB11" s="96"/>
      <c r="BC11" s="4">
        <v>168.554037827</v>
      </c>
      <c r="BD11" s="4">
        <f t="shared" si="22"/>
        <v>42.746306449999992</v>
      </c>
      <c r="BE11" s="4">
        <v>33.190564526999999</v>
      </c>
      <c r="BF11" s="4">
        <v>2.2744135930000002</v>
      </c>
      <c r="BG11" s="4">
        <f t="shared" si="10"/>
        <v>0.32710675245704923</v>
      </c>
      <c r="BH11" s="4">
        <f>Datos1[[#This Row],[Intereses]]/Datos1[[#This Row],[PIB nominal (miles de millones de G.)]]*100</f>
        <v>4.602961725903857E-3</v>
      </c>
      <c r="BI11" s="4">
        <v>38.407108325999999</v>
      </c>
      <c r="BJ11" s="4">
        <v>74.647624777000004</v>
      </c>
      <c r="BK11" s="4">
        <v>3.8551494739999996</v>
      </c>
      <c r="BL11" s="56">
        <f t="shared" si="11"/>
        <v>170.39367239300009</v>
      </c>
      <c r="BM11" s="56">
        <f>SUMIFS($BL$3:$BL11,$D$3:$D11,D11)</f>
        <v>580.96966597800042</v>
      </c>
      <c r="BN11" s="56"/>
      <c r="BO11" s="99"/>
      <c r="BP11" s="99"/>
      <c r="BQ11" s="99"/>
      <c r="BR11" s="2">
        <f t="shared" si="12"/>
        <v>0.34484297613023451</v>
      </c>
      <c r="BS11" s="2">
        <f>+Datos1[[#This Row],[RON acumulado 12 meses]]/Datos1[[#This Row],[PIB nominal (miles de millones de G.)]]*100</f>
        <v>0</v>
      </c>
      <c r="BT11" s="56">
        <v>92.479634864000005</v>
      </c>
      <c r="BU11" s="56">
        <f>SUMIFS($BT$3:$BT11,$D$3:$D11,D11)</f>
        <v>623.514030155</v>
      </c>
      <c r="BV11" s="56"/>
      <c r="BW11" s="99"/>
      <c r="BX11" s="99"/>
      <c r="BY11" s="99"/>
      <c r="BZ11" s="56">
        <f t="shared" si="13"/>
        <v>13.300445056202559</v>
      </c>
      <c r="CA11" s="56">
        <f>Datos1[[#This Row],[Adquisición Neta de Activos no Financieros]]/Datos1[[#This Row],[PIB nominal (miles de millones de G.)]]*100</f>
        <v>0.18716042720404016</v>
      </c>
      <c r="CB11" s="56">
        <f>+Datos1[[#This Row],[ANANF acumulado por año]]/Datos1[[#This Row],[PIB nominal (miles de millones de G.)]]*100</f>
        <v>1.2618686527378347</v>
      </c>
      <c r="CC11" s="56">
        <f>+Datos1[[#This Row],[ANANF acumulado 12 meses]]/Datos1[[#This Row],[PIB nominal (miles de millones de G.)]]*100</f>
        <v>0</v>
      </c>
      <c r="CD11" s="4">
        <v>69.610895845999991</v>
      </c>
      <c r="CE11" s="4">
        <f t="shared" si="14"/>
        <v>10.011457083219671</v>
      </c>
      <c r="CF11" s="4">
        <f t="shared" si="15"/>
        <v>22.868739018000014</v>
      </c>
      <c r="CG11" s="4">
        <f t="shared" si="16"/>
        <v>3.2889879729828864</v>
      </c>
      <c r="CH11" s="56">
        <f t="shared" si="17"/>
        <v>77.914037529000083</v>
      </c>
      <c r="CI11" s="56">
        <f>SUMIFS($CH$3:$CH11,$D$3:$D11,D11)</f>
        <v>-42.544364176999551</v>
      </c>
      <c r="CJ11" s="56"/>
      <c r="CK11" s="56">
        <f>Datos1[[#This Row],[Resultado Fiscal (miles de millones de G.)]]*1000/$F$207</f>
        <v>11.205617072183877</v>
      </c>
      <c r="CL11" s="56"/>
      <c r="CM11" s="99"/>
      <c r="CN11" s="99"/>
      <c r="CO11" s="99"/>
      <c r="CP11" s="4">
        <f t="shared" si="18"/>
        <v>0.15768254892619438</v>
      </c>
      <c r="CR11" s="73">
        <v>223.179271349</v>
      </c>
      <c r="CS11" s="113">
        <f>SUM(Datos1[[#This Row],[FFPP]:[MTESS]])</f>
        <v>0</v>
      </c>
      <c r="CT11" s="113"/>
      <c r="CU11" s="113"/>
      <c r="CV11" s="113"/>
      <c r="CW11" s="113"/>
      <c r="CX11" s="113"/>
      <c r="CY11" s="113"/>
      <c r="CZ11" s="113"/>
    </row>
    <row r="12" spans="1:104">
      <c r="A12">
        <v>10</v>
      </c>
      <c r="B12" s="3">
        <v>37895</v>
      </c>
      <c r="C12" s="14" t="str">
        <f t="shared" si="0"/>
        <v>Octubre</v>
      </c>
      <c r="D12" s="14">
        <f t="shared" si="19"/>
        <v>2003</v>
      </c>
      <c r="E12" s="15">
        <f t="shared" si="1"/>
        <v>49411.959699781924</v>
      </c>
      <c r="F12" s="15">
        <f t="shared" si="2"/>
        <v>6435.5050000000001</v>
      </c>
      <c r="G12" s="56">
        <v>555.24246641499997</v>
      </c>
      <c r="H12" s="4">
        <f t="shared" si="20"/>
        <v>1.1237005570889156</v>
      </c>
      <c r="I12" s="4">
        <f>SUMIFS($G$3:$G12,$D$3:$D12,D12)</f>
        <v>4645.1616724060004</v>
      </c>
      <c r="J12" s="2"/>
      <c r="K12" s="94"/>
      <c r="L12" s="94"/>
      <c r="M12" s="94"/>
      <c r="N12" s="4">
        <v>380.53570590499999</v>
      </c>
      <c r="O12" s="4">
        <f t="shared" si="3"/>
        <v>0.77012874659711061</v>
      </c>
      <c r="P12" s="4">
        <f>SUMIFS($N$3:$N12,$D$3:$D12,D12)</f>
        <v>2931.5982844620003</v>
      </c>
      <c r="Q12" s="4"/>
      <c r="R12" s="96"/>
      <c r="S12" s="96"/>
      <c r="T12" s="96"/>
      <c r="U12" s="4">
        <v>123.35218181500001</v>
      </c>
      <c r="V12" s="4"/>
      <c r="W12" s="97"/>
      <c r="X12" s="97"/>
      <c r="Y12" s="4">
        <v>264.54480269200002</v>
      </c>
      <c r="Z12" s="4"/>
      <c r="AA12" s="97"/>
      <c r="AB12" s="97"/>
      <c r="AC12" s="4">
        <v>36.573305955000002</v>
      </c>
      <c r="AD12" s="4">
        <f t="shared" si="4"/>
        <v>7.4017112814818015E-2</v>
      </c>
      <c r="AE12" s="4">
        <v>17.826329277999996</v>
      </c>
      <c r="AF12" s="4">
        <f t="shared" si="5"/>
        <v>3.6076952596718545E-2</v>
      </c>
      <c r="AG12" s="4">
        <v>120.307125277</v>
      </c>
      <c r="AH12" s="4">
        <f t="shared" si="6"/>
        <v>18.694278891400131</v>
      </c>
      <c r="AI12" s="4">
        <v>90.936630327000003</v>
      </c>
      <c r="AJ12" s="4">
        <f t="shared" si="7"/>
        <v>13.078529743755443</v>
      </c>
      <c r="AK12" s="101">
        <f>SUMIFS($AJ$3:$AJ12,$D$3:$D12,D12)</f>
        <v>147.04909668427183</v>
      </c>
      <c r="AL12" s="4">
        <v>0</v>
      </c>
      <c r="AM12" s="4">
        <f t="shared" si="8"/>
        <v>0</v>
      </c>
      <c r="AN12" s="101">
        <f>SUMIFS($AM$3:$AM12,$D$3:$D12,D12)</f>
        <v>2.4195373775909816</v>
      </c>
      <c r="AO12" s="4">
        <f t="shared" si="21"/>
        <v>29.370494949999994</v>
      </c>
      <c r="AP12" s="56">
        <v>407.28155276899997</v>
      </c>
      <c r="AQ12" s="4">
        <f t="shared" si="9"/>
        <v>0.82425703259609329</v>
      </c>
      <c r="AR12" s="4">
        <f>SUMIFS($AP$3:$AP12,$D$3:$D12,D12)</f>
        <v>3916.2310927819999</v>
      </c>
      <c r="AS12" s="4"/>
      <c r="AT12" s="96"/>
      <c r="AU12" s="96"/>
      <c r="AV12" s="96"/>
      <c r="AW12" s="4">
        <v>211.40306225099997</v>
      </c>
      <c r="AX12" s="4">
        <f>SUMIFS($AW$3:$AW12,$D$3:$D12,D12)</f>
        <v>2089.3843816999997</v>
      </c>
      <c r="AY12" s="4"/>
      <c r="AZ12" s="96"/>
      <c r="BA12" s="96"/>
      <c r="BB12" s="96"/>
      <c r="BC12" s="4">
        <v>168.266666203</v>
      </c>
      <c r="BD12" s="4">
        <f t="shared" si="22"/>
        <v>43.136396047999966</v>
      </c>
      <c r="BE12" s="4">
        <v>41.136561287000006</v>
      </c>
      <c r="BF12" s="4">
        <v>18.612666232999999</v>
      </c>
      <c r="BG12" s="4">
        <f t="shared" si="10"/>
        <v>2.6768784819004594</v>
      </c>
      <c r="BH12" s="4">
        <f>Datos1[[#This Row],[Intereses]]/Datos1[[#This Row],[PIB nominal (miles de millones de G.)]]*100</f>
        <v>3.7668342535060684E-2</v>
      </c>
      <c r="BI12" s="4">
        <v>53.504472591000003</v>
      </c>
      <c r="BJ12" s="4">
        <v>75.218873841000004</v>
      </c>
      <c r="BK12" s="4">
        <v>7.405916566000001</v>
      </c>
      <c r="BL12" s="56">
        <f t="shared" si="11"/>
        <v>147.96091364599999</v>
      </c>
      <c r="BM12" s="56">
        <f>SUMIFS($BL$3:$BL12,$D$3:$D12,D12)</f>
        <v>728.93057962400042</v>
      </c>
      <c r="BN12" s="56"/>
      <c r="BO12" s="99"/>
      <c r="BP12" s="99"/>
      <c r="BQ12" s="99"/>
      <c r="BR12" s="2">
        <f t="shared" si="12"/>
        <v>0.29944352449282235</v>
      </c>
      <c r="BS12" s="2">
        <f>+Datos1[[#This Row],[RON acumulado 12 meses]]/Datos1[[#This Row],[PIB nominal (miles de millones de G.)]]*100</f>
        <v>0</v>
      </c>
      <c r="BT12" s="56">
        <v>87.845204384000013</v>
      </c>
      <c r="BU12" s="56">
        <f>SUMIFS($BT$3:$BT12,$D$3:$D12,D12)</f>
        <v>711.359234539</v>
      </c>
      <c r="BV12" s="56"/>
      <c r="BW12" s="99"/>
      <c r="BX12" s="99"/>
      <c r="BY12" s="99"/>
      <c r="BZ12" s="56">
        <f t="shared" si="13"/>
        <v>12.633920063357618</v>
      </c>
      <c r="CA12" s="56">
        <f>Datos1[[#This Row],[Adquisición Neta de Activos no Financieros]]/Datos1[[#This Row],[PIB nominal (miles de millones de G.)]]*100</f>
        <v>0.17778125967423977</v>
      </c>
      <c r="CB12" s="56">
        <f>+Datos1[[#This Row],[ANANF acumulado por año]]/Datos1[[#This Row],[PIB nominal (miles de millones de G.)]]*100</f>
        <v>1.4396499124120745</v>
      </c>
      <c r="CC12" s="56">
        <f>+Datos1[[#This Row],[ANANF acumulado 12 meses]]/Datos1[[#This Row],[PIB nominal (miles de millones de G.)]]*100</f>
        <v>0</v>
      </c>
      <c r="CD12" s="4">
        <v>47.580605926000004</v>
      </c>
      <c r="CE12" s="4">
        <f t="shared" si="14"/>
        <v>6.8430550768311784</v>
      </c>
      <c r="CF12" s="4">
        <f t="shared" si="15"/>
        <v>40.264598458000009</v>
      </c>
      <c r="CG12" s="4">
        <f t="shared" si="16"/>
        <v>5.7908649865264383</v>
      </c>
      <c r="CH12" s="56">
        <f t="shared" si="17"/>
        <v>60.115709261999982</v>
      </c>
      <c r="CI12" s="56">
        <f>SUMIFS($CH$3:$CH12,$D$3:$D12,D12)</f>
        <v>17.571345085000431</v>
      </c>
      <c r="CJ12" s="56"/>
      <c r="CK12" s="56">
        <f>Datos1[[#This Row],[Resultado Fiscal (miles de millones de G.)]]*1000/$F$207</f>
        <v>8.6458568876241184</v>
      </c>
      <c r="CL12" s="56"/>
      <c r="CM12" s="99"/>
      <c r="CN12" s="99"/>
      <c r="CO12" s="99"/>
      <c r="CP12" s="4">
        <f t="shared" si="18"/>
        <v>0.12166226481858257</v>
      </c>
      <c r="CR12" s="73">
        <v>224.57536468199999</v>
      </c>
      <c r="CS12" s="113">
        <f>SUM(Datos1[[#This Row],[FFPP]:[MTESS]])</f>
        <v>0</v>
      </c>
      <c r="CT12" s="113"/>
      <c r="CU12" s="113"/>
      <c r="CV12" s="113"/>
      <c r="CW12" s="113"/>
      <c r="CX12" s="113"/>
      <c r="CY12" s="113"/>
      <c r="CZ12" s="113"/>
    </row>
    <row r="13" spans="1:104">
      <c r="A13">
        <v>11</v>
      </c>
      <c r="B13" s="3">
        <v>37926</v>
      </c>
      <c r="C13" s="14" t="str">
        <f t="shared" si="0"/>
        <v>Noviembre</v>
      </c>
      <c r="D13" s="14">
        <f t="shared" si="19"/>
        <v>2003</v>
      </c>
      <c r="E13" s="15">
        <f t="shared" si="1"/>
        <v>49411.959699781924</v>
      </c>
      <c r="F13" s="15">
        <f t="shared" si="2"/>
        <v>6435.5050000000001</v>
      </c>
      <c r="G13" s="56">
        <v>582.64804531400011</v>
      </c>
      <c r="H13" s="4">
        <f t="shared" si="20"/>
        <v>1.1791640097945186</v>
      </c>
      <c r="I13" s="4">
        <f>SUMIFS($G$3:$G13,$D$3:$D13,D13)</f>
        <v>5227.8097177200007</v>
      </c>
      <c r="J13" s="2"/>
      <c r="K13" s="94"/>
      <c r="L13" s="94"/>
      <c r="M13" s="94"/>
      <c r="N13" s="4">
        <v>370.65979374200015</v>
      </c>
      <c r="O13" s="4">
        <f t="shared" si="3"/>
        <v>0.75014186037967656</v>
      </c>
      <c r="P13" s="4">
        <f>SUMIFS($N$3:$N13,$D$3:$D13,D13)</f>
        <v>3302.2580782040004</v>
      </c>
      <c r="Q13" s="4"/>
      <c r="R13" s="96"/>
      <c r="S13" s="96"/>
      <c r="T13" s="96"/>
      <c r="U13" s="4">
        <v>187.51853179800003</v>
      </c>
      <c r="V13" s="4"/>
      <c r="W13" s="97"/>
      <c r="X13" s="97"/>
      <c r="Y13" s="4">
        <v>204.61975346</v>
      </c>
      <c r="Z13" s="4"/>
      <c r="AA13" s="97"/>
      <c r="AB13" s="97"/>
      <c r="AC13" s="4">
        <v>35.372521050000003</v>
      </c>
      <c r="AD13" s="4">
        <f t="shared" si="4"/>
        <v>7.1586962478146998E-2</v>
      </c>
      <c r="AE13" s="4">
        <v>24.223352502999997</v>
      </c>
      <c r="AF13" s="4">
        <f t="shared" si="5"/>
        <v>4.9023258033432958E-2</v>
      </c>
      <c r="AG13" s="4">
        <v>152.39237801899998</v>
      </c>
      <c r="AH13" s="4">
        <f t="shared" si="6"/>
        <v>23.679940893371999</v>
      </c>
      <c r="AI13" s="4">
        <v>91.284270785999993</v>
      </c>
      <c r="AJ13" s="4">
        <f t="shared" si="7"/>
        <v>13.128527484674748</v>
      </c>
      <c r="AK13" s="101">
        <f>SUMIFS($AJ$3:$AJ13,$D$3:$D13,D13)</f>
        <v>160.17762416894658</v>
      </c>
      <c r="AL13" s="4">
        <v>30.85</v>
      </c>
      <c r="AM13" s="4">
        <f t="shared" si="8"/>
        <v>4.4368549961000729</v>
      </c>
      <c r="AN13" s="101">
        <f>SUMIFS($AM$3:$AM13,$D$3:$D13,D13)</f>
        <v>6.8563923736910546</v>
      </c>
      <c r="AO13" s="4">
        <f t="shared" si="21"/>
        <v>30.258107232999983</v>
      </c>
      <c r="AP13" s="56">
        <v>455.79761105</v>
      </c>
      <c r="AQ13" s="4">
        <f t="shared" si="9"/>
        <v>0.92244390592751901</v>
      </c>
      <c r="AR13" s="4">
        <f>SUMIFS($AP$3:$AP13,$D$3:$D13,D13)</f>
        <v>4372.0287038320002</v>
      </c>
      <c r="AS13" s="4"/>
      <c r="AT13" s="96"/>
      <c r="AU13" s="96"/>
      <c r="AV13" s="96"/>
      <c r="AW13" s="4">
        <v>212.41629911000001</v>
      </c>
      <c r="AX13" s="4">
        <f>SUMIFS($AW$3:$AW13,$D$3:$D13,D13)</f>
        <v>2301.8006808099999</v>
      </c>
      <c r="AY13" s="4"/>
      <c r="AZ13" s="96"/>
      <c r="BA13" s="96"/>
      <c r="BB13" s="96"/>
      <c r="BC13" s="4">
        <v>167.600203564</v>
      </c>
      <c r="BD13" s="4">
        <f t="shared" si="22"/>
        <v>44.816095546000014</v>
      </c>
      <c r="BE13" s="4">
        <v>50.868581559999996</v>
      </c>
      <c r="BF13" s="4">
        <v>49.682997993000001</v>
      </c>
      <c r="BG13" s="4">
        <f t="shared" si="10"/>
        <v>7.145421648832154</v>
      </c>
      <c r="BH13" s="4">
        <f>Datos1[[#This Row],[Intereses]]/Datos1[[#This Row],[PIB nominal (miles de millones de G.)]]*100</f>
        <v>0.10054852771447409</v>
      </c>
      <c r="BI13" s="4">
        <v>56.386418947999999</v>
      </c>
      <c r="BJ13" s="4">
        <v>78.018579887000001</v>
      </c>
      <c r="BK13" s="4">
        <v>8.4247335519999993</v>
      </c>
      <c r="BL13" s="56">
        <f t="shared" si="11"/>
        <v>126.85043426400011</v>
      </c>
      <c r="BM13" s="56">
        <f>SUMIFS($BL$3:$BL13,$D$3:$D13,D13)</f>
        <v>855.78101388800053</v>
      </c>
      <c r="BN13" s="56"/>
      <c r="BO13" s="99"/>
      <c r="BP13" s="99"/>
      <c r="BQ13" s="99"/>
      <c r="BR13" s="2">
        <f t="shared" si="12"/>
        <v>0.25672010386699956</v>
      </c>
      <c r="BS13" s="2">
        <f>+Datos1[[#This Row],[RON acumulado 12 meses]]/Datos1[[#This Row],[PIB nominal (miles de millones de G.)]]*100</f>
        <v>0</v>
      </c>
      <c r="BT13" s="56">
        <v>145.64577971900002</v>
      </c>
      <c r="BU13" s="56">
        <f>SUMIFS($BT$3:$BT13,$D$3:$D13,D13)</f>
        <v>857.00501425800007</v>
      </c>
      <c r="BV13" s="56"/>
      <c r="BW13" s="99"/>
      <c r="BX13" s="99"/>
      <c r="BY13" s="99"/>
      <c r="BZ13" s="56">
        <f t="shared" si="13"/>
        <v>20.946813789534389</v>
      </c>
      <c r="CA13" s="56">
        <f>Datos1[[#This Row],[Adquisición Neta de Activos no Financieros]]/Datos1[[#This Row],[PIB nominal (miles de millones de G.)]]*100</f>
        <v>0.29475815289237117</v>
      </c>
      <c r="CB13" s="56">
        <f>+Datos1[[#This Row],[ANANF acumulado por año]]/Datos1[[#This Row],[PIB nominal (miles de millones de G.)]]*100</f>
        <v>1.7344080653044456</v>
      </c>
      <c r="CC13" s="56">
        <f>+Datos1[[#This Row],[ANANF acumulado 12 meses]]/Datos1[[#This Row],[PIB nominal (miles de millones de G.)]]*100</f>
        <v>0</v>
      </c>
      <c r="CD13" s="4">
        <v>56.035447360000006</v>
      </c>
      <c r="CE13" s="4">
        <f t="shared" si="14"/>
        <v>8.0590325633036848</v>
      </c>
      <c r="CF13" s="4">
        <f t="shared" si="15"/>
        <v>89.610332359000012</v>
      </c>
      <c r="CG13" s="4">
        <f t="shared" si="16"/>
        <v>12.887781226230704</v>
      </c>
      <c r="CH13" s="56">
        <f t="shared" si="17"/>
        <v>-18.795345454999904</v>
      </c>
      <c r="CI13" s="56">
        <f>SUMIFS($CH$3:$CH13,$D$3:$D13,D13)</f>
        <v>-1.224000369999473</v>
      </c>
      <c r="CJ13" s="56"/>
      <c r="CK13" s="56">
        <f>Datos1[[#This Row],[Resultado Fiscal (miles de millones de G.)]]*1000/$F$207</f>
        <v>-2.7031514549576379</v>
      </c>
      <c r="CL13" s="56"/>
      <c r="CM13" s="99"/>
      <c r="CN13" s="99"/>
      <c r="CO13" s="99"/>
      <c r="CP13" s="4">
        <f t="shared" si="18"/>
        <v>-3.8038049025371598E-2</v>
      </c>
      <c r="CR13" s="73">
        <v>224.00370205499999</v>
      </c>
      <c r="CS13" s="113">
        <f>SUM(Datos1[[#This Row],[FFPP]:[MTESS]])</f>
        <v>0</v>
      </c>
      <c r="CT13" s="113"/>
      <c r="CU13" s="113"/>
      <c r="CV13" s="113"/>
      <c r="CW13" s="113"/>
      <c r="CX13" s="113"/>
      <c r="CY13" s="113"/>
      <c r="CZ13" s="113"/>
    </row>
    <row r="14" spans="1:104">
      <c r="A14">
        <v>12</v>
      </c>
      <c r="B14" s="3">
        <v>37956</v>
      </c>
      <c r="C14" s="14" t="str">
        <f t="shared" si="0"/>
        <v>Diciembre</v>
      </c>
      <c r="D14" s="14">
        <f t="shared" si="19"/>
        <v>2003</v>
      </c>
      <c r="E14" s="15">
        <f t="shared" si="1"/>
        <v>49411.959699781924</v>
      </c>
      <c r="F14" s="15">
        <f t="shared" si="2"/>
        <v>6435.5050000000001</v>
      </c>
      <c r="G14" s="56">
        <v>837.1590665079998</v>
      </c>
      <c r="H14" s="4">
        <f t="shared" si="20"/>
        <v>1.6942438057393916</v>
      </c>
      <c r="I14" s="4">
        <f>SUMIFS($G$3:$G14,$D$3:$D14,D14)</f>
        <v>6064.968784228</v>
      </c>
      <c r="J14" s="2">
        <f>SUM(G3:G14)</f>
        <v>6064.968784228</v>
      </c>
      <c r="K14" s="94"/>
      <c r="L14" s="94"/>
      <c r="M14" s="94"/>
      <c r="N14" s="4">
        <v>373.56272912899988</v>
      </c>
      <c r="O14" s="4">
        <f t="shared" si="3"/>
        <v>0.75601682547848548</v>
      </c>
      <c r="P14" s="4">
        <f>SUMIFS($N$3:$N14,$D$3:$D14,D14)</f>
        <v>3675.8208073330002</v>
      </c>
      <c r="Q14" s="4">
        <f t="shared" ref="Q14:Q45" si="23">SUM(N3:N14)</f>
        <v>3675.8208073330002</v>
      </c>
      <c r="R14" s="96"/>
      <c r="S14" s="96"/>
      <c r="T14" s="96"/>
      <c r="U14" s="4">
        <v>125.348306595</v>
      </c>
      <c r="V14" s="4">
        <f>SUM(U3:U14)</f>
        <v>1629.2645083789998</v>
      </c>
      <c r="W14" s="97"/>
      <c r="X14" s="97"/>
      <c r="Y14" s="4">
        <v>218.41535654299997</v>
      </c>
      <c r="Z14" s="4">
        <f>SUM(Y3:Y14)</f>
        <v>2077.0287278750002</v>
      </c>
      <c r="AA14" s="97"/>
      <c r="AB14" s="97"/>
      <c r="AC14" s="4">
        <v>65.997312464999993</v>
      </c>
      <c r="AD14" s="4">
        <f t="shared" si="4"/>
        <v>0.13356546242243306</v>
      </c>
      <c r="AE14" s="4">
        <v>11.352104930000001</v>
      </c>
      <c r="AF14" s="4">
        <f t="shared" si="5"/>
        <v>2.2974407408597686E-2</v>
      </c>
      <c r="AG14" s="4">
        <v>386.24691998399999</v>
      </c>
      <c r="AH14" s="4">
        <f t="shared" si="6"/>
        <v>60.018121341526417</v>
      </c>
      <c r="AI14" s="4">
        <v>331.37464534399999</v>
      </c>
      <c r="AJ14" s="4">
        <f t="shared" si="7"/>
        <v>47.658387383319806</v>
      </c>
      <c r="AK14" s="101">
        <f>SUMIFS($AJ$3:$AJ14,$D$3:$D14,D14)</f>
        <v>207.83601155226637</v>
      </c>
      <c r="AL14" s="4">
        <v>0</v>
      </c>
      <c r="AM14" s="4">
        <f t="shared" si="8"/>
        <v>0</v>
      </c>
      <c r="AN14" s="101">
        <f>SUMIFS($AM$3:$AM14,$D$3:$D14,D14)</f>
        <v>6.8563923736910546</v>
      </c>
      <c r="AO14" s="4">
        <f t="shared" si="21"/>
        <v>54.872274640000001</v>
      </c>
      <c r="AP14" s="56">
        <v>812.60362549000001</v>
      </c>
      <c r="AQ14" s="4">
        <f t="shared" si="9"/>
        <v>1.6445484664587924</v>
      </c>
      <c r="AR14" s="4">
        <f>SUMIFS($AP$3:$AP14,$D$3:$D14,D14)</f>
        <v>5184.6323293220003</v>
      </c>
      <c r="AS14" s="4">
        <f>SUM(AP3:AP14)</f>
        <v>5184.6323293220003</v>
      </c>
      <c r="AT14" s="97"/>
      <c r="AU14" s="96"/>
      <c r="AV14" s="96"/>
      <c r="AW14" s="4">
        <v>403.81622412799993</v>
      </c>
      <c r="AX14" s="4">
        <f>SUMIFS($AW$3:$AW14,$D$3:$D14,D14)</f>
        <v>2705.6169049379996</v>
      </c>
      <c r="AY14" s="4">
        <f>SUM(AW3:AW14)</f>
        <v>2705.6169049379996</v>
      </c>
      <c r="AZ14" s="96"/>
      <c r="BA14" s="96"/>
      <c r="BB14" s="96"/>
      <c r="BC14" s="4">
        <v>168.377722398</v>
      </c>
      <c r="BD14" s="4">
        <f t="shared" si="22"/>
        <v>235.43850172999993</v>
      </c>
      <c r="BE14" s="4">
        <v>37.641264285000005</v>
      </c>
      <c r="BF14" s="4">
        <v>70.066086654000003</v>
      </c>
      <c r="BG14" s="4">
        <f t="shared" si="10"/>
        <v>10.076922743208446</v>
      </c>
      <c r="BH14" s="4">
        <f>Datos1[[#This Row],[Intereses]]/Datos1[[#This Row],[PIB nominal (miles de millones de G.)]]*100</f>
        <v>0.14179985388094055</v>
      </c>
      <c r="BI14" s="4">
        <v>140.81332075500001</v>
      </c>
      <c r="BJ14" s="4">
        <v>145.710186088</v>
      </c>
      <c r="BK14" s="4">
        <v>14.55654358</v>
      </c>
      <c r="BL14" s="56">
        <f t="shared" si="11"/>
        <v>24.555441017999783</v>
      </c>
      <c r="BM14" s="56">
        <f>SUMIFS($BL$3:$BL14,$D$3:$D14,D14)</f>
        <v>880.33645490600031</v>
      </c>
      <c r="BN14" s="56">
        <f t="shared" ref="BN14:BN45" si="24">SUM(BL3:BL14)</f>
        <v>880.33645490600031</v>
      </c>
      <c r="BO14" s="99"/>
      <c r="BP14" s="99"/>
      <c r="BQ14" s="99"/>
      <c r="BR14" s="2">
        <f t="shared" si="12"/>
        <v>4.9695339280599625E-2</v>
      </c>
      <c r="BS14" s="2">
        <f>+Datos1[[#This Row],[RON acumulado 12 meses]]/Datos1[[#This Row],[PIB nominal (miles de millones de G.)]]*100</f>
        <v>1.7816262707546198</v>
      </c>
      <c r="BT14" s="56">
        <v>257.67363286199998</v>
      </c>
      <c r="BU14" s="56">
        <f>SUMIFS($BT$3:$BT14,$D$3:$D14,D14)</f>
        <v>1114.6786471200001</v>
      </c>
      <c r="BV14" s="56">
        <f>SUM(BT3:BT14)</f>
        <v>1114.6786471200001</v>
      </c>
      <c r="BW14" s="99"/>
      <c r="BX14" s="99"/>
      <c r="BY14" s="99"/>
      <c r="BZ14" s="56">
        <f t="shared" si="13"/>
        <v>37.058688665381538</v>
      </c>
      <c r="CA14" s="56">
        <f>Datos1[[#This Row],[Adquisición Neta de Activos no Financieros]]/Datos1[[#This Row],[PIB nominal (miles de millones de G.)]]*100</f>
        <v>0.52148029430036391</v>
      </c>
      <c r="CB14" s="56">
        <f>+Datos1[[#This Row],[ANANF acumulado por año]]/Datos1[[#This Row],[PIB nominal (miles de millones de G.)]]*100</f>
        <v>2.2558883596048096</v>
      </c>
      <c r="CC14" s="56">
        <f>+Datos1[[#This Row],[ANANF acumulado 12 meses]]/Datos1[[#This Row],[PIB nominal (miles de millones de G.)]]*100</f>
        <v>2.2558883596048096</v>
      </c>
      <c r="CD14" s="4">
        <v>150.63876006799998</v>
      </c>
      <c r="CE14" s="4">
        <f t="shared" si="14"/>
        <v>21.664905517472477</v>
      </c>
      <c r="CF14" s="4">
        <f t="shared" si="15"/>
        <v>107.03487279399999</v>
      </c>
      <c r="CG14" s="4">
        <f t="shared" si="16"/>
        <v>15.393783147909065</v>
      </c>
      <c r="CH14" s="56">
        <f t="shared" si="17"/>
        <v>-233.11819184400019</v>
      </c>
      <c r="CI14" s="56">
        <f>SUMIFS($CH$3:$CH14,$D$3:$D14,D14)</f>
        <v>-234.34219221399968</v>
      </c>
      <c r="CJ14" s="56">
        <f t="shared" ref="CJ14:CJ45" si="25">SUM(CH3:CH14)</f>
        <v>-234.34219221399968</v>
      </c>
      <c r="CK14" s="56">
        <f>Datos1[[#This Row],[Resultado Fiscal (miles de millones de G.)]]*1000/$F$207</f>
        <v>-33.527118773577556</v>
      </c>
      <c r="CL14" s="56">
        <f>SUM(CK3:CK14)</f>
        <v>-33.703154824043054</v>
      </c>
      <c r="CM14" s="99"/>
      <c r="CN14" s="99"/>
      <c r="CO14" s="99"/>
      <c r="CP14" s="4">
        <f t="shared" si="18"/>
        <v>-0.47178495501976425</v>
      </c>
      <c r="CQ14" s="4">
        <f t="shared" ref="CQ14:CQ45" si="26">+CJ14/E14*100</f>
        <v>-0.47426208885018972</v>
      </c>
      <c r="CR14" s="73">
        <v>423.42305551200002</v>
      </c>
      <c r="CS14" s="113">
        <f>SUM(Datos1[[#This Row],[FFPP]:[MTESS]])</f>
        <v>0</v>
      </c>
      <c r="CT14" s="113"/>
      <c r="CU14" s="113"/>
      <c r="CV14" s="113"/>
      <c r="CW14" s="113"/>
      <c r="CX14" s="113"/>
      <c r="CY14" s="113"/>
      <c r="CZ14" s="113"/>
    </row>
    <row r="15" spans="1:104">
      <c r="A15">
        <v>13</v>
      </c>
      <c r="B15" s="76">
        <v>37987</v>
      </c>
      <c r="C15" s="14" t="str">
        <f t="shared" si="0"/>
        <v>Enero</v>
      </c>
      <c r="D15" s="14">
        <f t="shared" si="19"/>
        <v>2004</v>
      </c>
      <c r="E15" s="15">
        <f t="shared" si="1"/>
        <v>57501.991731711008</v>
      </c>
      <c r="F15" s="15">
        <f t="shared" si="2"/>
        <v>5975.6848701298695</v>
      </c>
      <c r="G15" s="56">
        <v>377.89362093800003</v>
      </c>
      <c r="H15" s="4">
        <f t="shared" si="20"/>
        <v>0.65718353322638123</v>
      </c>
      <c r="I15" s="4">
        <f>SUMIFS($G$3:$G15,$D$3:$D15,D15)</f>
        <v>377.89362093800003</v>
      </c>
      <c r="J15" s="2">
        <f t="shared" ref="J15:J78" si="27">SUM(G4:G15)</f>
        <v>6050.7447638530002</v>
      </c>
      <c r="K15" s="95">
        <f>IFERROR(I15/I3-1,0)</f>
        <v>-3.6274879975741747E-2</v>
      </c>
      <c r="L15" s="95">
        <f>IFERROR(G15/G3-1,0)</f>
        <v>-3.6274879975741747E-2</v>
      </c>
      <c r="M15" s="94"/>
      <c r="N15" s="4">
        <v>319.07274518400004</v>
      </c>
      <c r="O15" s="4">
        <f t="shared" si="3"/>
        <v>0.55488990133195482</v>
      </c>
      <c r="P15" s="4">
        <f>SUMIFS($N$3:$N15,$D$3:$D15,D15)</f>
        <v>319.07274518400004</v>
      </c>
      <c r="Q15" s="4">
        <f t="shared" si="23"/>
        <v>3750.332351303</v>
      </c>
      <c r="R15" s="97">
        <f>IFERROR(N15/N3-1,0)</f>
        <v>0.30467442750577467</v>
      </c>
      <c r="S15" s="97">
        <f>IFERROR(P15/P3-1,0)</f>
        <v>0.30467442750577467</v>
      </c>
      <c r="T15" s="96"/>
      <c r="U15" s="4">
        <v>131.32275641700002</v>
      </c>
      <c r="V15" s="4">
        <f t="shared" ref="V15:V78" si="28">SUM(U4:U15)</f>
        <v>1647.3481089949998</v>
      </c>
      <c r="W15" s="97"/>
      <c r="X15" s="97">
        <f>IFERROR(U15/U3-1,0)</f>
        <v>0.15969388404642593</v>
      </c>
      <c r="Y15" s="4">
        <v>196.70974548000004</v>
      </c>
      <c r="Z15" s="4">
        <f t="shared" ref="Z15:Z78" si="29">SUM(Y4:Y15)</f>
        <v>2133.0694664430002</v>
      </c>
      <c r="AA15" s="97"/>
      <c r="AB15" s="97">
        <f>IFERROR(Y15/Y3-1,0)</f>
        <v>0.39838724818081728</v>
      </c>
      <c r="AC15" s="4">
        <v>0</v>
      </c>
      <c r="AD15" s="4">
        <f t="shared" si="4"/>
        <v>0</v>
      </c>
      <c r="AE15" s="4">
        <v>6.7350556730000006</v>
      </c>
      <c r="AF15" s="4">
        <f t="shared" si="5"/>
        <v>1.1712734585653969E-2</v>
      </c>
      <c r="AG15" s="4">
        <v>52.085820081000008</v>
      </c>
      <c r="AH15" s="4">
        <f t="shared" si="6"/>
        <v>8.7162929794636277</v>
      </c>
      <c r="AI15" s="4">
        <v>35.411304127000001</v>
      </c>
      <c r="AJ15" s="4">
        <f t="shared" si="7"/>
        <v>5.0928629379027264</v>
      </c>
      <c r="AK15" s="101">
        <f>SUMIFS($AJ$3:$AJ15,$D$3:$D15,D15)</f>
        <v>5.0928629379027264</v>
      </c>
      <c r="AL15" s="4">
        <v>0</v>
      </c>
      <c r="AM15" s="4">
        <f t="shared" si="8"/>
        <v>0</v>
      </c>
      <c r="AN15" s="101">
        <f>SUMIFS($AM$3:$AM15,$D$3:$D15,D15)</f>
        <v>0</v>
      </c>
      <c r="AO15" s="4">
        <f t="shared" si="21"/>
        <v>16.674515954000007</v>
      </c>
      <c r="AP15" s="56">
        <v>329.09690646299998</v>
      </c>
      <c r="AQ15" s="4">
        <f t="shared" si="9"/>
        <v>0.57232262144671187</v>
      </c>
      <c r="AR15" s="4">
        <f>SUMIFS($AP$3:$AP15,$D$3:$D15,D15)</f>
        <v>329.09690646299998</v>
      </c>
      <c r="AS15" s="4">
        <f t="shared" ref="AS15:AS78" si="30">SUM(AP4:AP15)</f>
        <v>5137.3949724160002</v>
      </c>
      <c r="AT15" s="97">
        <f>IFERROR(AP15/AP3-1,0)</f>
        <v>-0.12551968158074212</v>
      </c>
      <c r="AU15" s="97">
        <f>IFERROR(AR15/AR3-1,0)</f>
        <v>-0.12551968158074212</v>
      </c>
      <c r="AV15" s="96"/>
      <c r="AW15" s="4">
        <v>214.44415955499997</v>
      </c>
      <c r="AX15" s="4">
        <f>SUMIFS($AW$3:$AW15,$D$3:$D15,D15)</f>
        <v>214.44415955499997</v>
      </c>
      <c r="AY15" s="4">
        <f t="shared" ref="AY15:AY78" si="31">SUM(AW4:AW15)</f>
        <v>2723.8955371650004</v>
      </c>
      <c r="AZ15" s="97">
        <f>IFERROR(AW15/AW3-1,0)</f>
        <v>9.3179634954091872E-2</v>
      </c>
      <c r="BA15" s="97">
        <f>IFERROR(AX15/AX3-1,0)</f>
        <v>9.3179634954091872E-2</v>
      </c>
      <c r="BB15" s="96"/>
      <c r="BC15" s="4">
        <v>171.189500012</v>
      </c>
      <c r="BD15" s="4">
        <f t="shared" si="22"/>
        <v>43.254659542999974</v>
      </c>
      <c r="BE15" s="4">
        <v>0.125</v>
      </c>
      <c r="BF15" s="4">
        <v>26.358134066999998</v>
      </c>
      <c r="BG15" s="4">
        <f t="shared" si="10"/>
        <v>3.790833673356385</v>
      </c>
      <c r="BH15" s="4">
        <f>Datos1[[#This Row],[Intereses]]/Datos1[[#This Row],[PIB nominal (miles de millones de G.)]]*100</f>
        <v>4.5838645363764155E-2</v>
      </c>
      <c r="BI15" s="4">
        <v>15.525228144000002</v>
      </c>
      <c r="BJ15" s="4">
        <v>72.644384697000007</v>
      </c>
      <c r="BK15" s="4">
        <v>0</v>
      </c>
      <c r="BL15" s="56">
        <f t="shared" si="11"/>
        <v>48.796714475000044</v>
      </c>
      <c r="BM15" s="56">
        <f>SUMIFS($BL$3:$BL15,$D$3:$D15,D15)</f>
        <v>48.796714475000044</v>
      </c>
      <c r="BN15" s="56">
        <f t="shared" si="24"/>
        <v>913.34979143700036</v>
      </c>
      <c r="BO15" s="100">
        <f>IFERROR(BL15/BL3-1,0)</f>
        <v>2.0916521576136873</v>
      </c>
      <c r="BP15" s="100">
        <f>IFERROR(BM15/BM3-1,0)</f>
        <v>2.0916521576136873</v>
      </c>
      <c r="BQ15" s="99"/>
      <c r="BR15" s="2">
        <f t="shared" si="12"/>
        <v>8.4860911779669354E-2</v>
      </c>
      <c r="BS15" s="2">
        <f>+Datos1[[#This Row],[RON acumulado 12 meses]]/Datos1[[#This Row],[PIB nominal (miles de millones de G.)]]*100</f>
        <v>1.5883794003144227</v>
      </c>
      <c r="BT15" s="56">
        <v>0.91441225199999998</v>
      </c>
      <c r="BU15" s="56">
        <f>SUMIFS($BT$3:$BT15,$D$3:$D15,D15)</f>
        <v>0.91441225199999998</v>
      </c>
      <c r="BV15" s="56">
        <f t="shared" ref="BV15:BV78" si="32">SUM(BT4:BT15)</f>
        <v>1089.8308018119999</v>
      </c>
      <c r="BW15" s="100">
        <f>IFERROR(BT15/BT3-1,0)</f>
        <v>-0.9645057406219022</v>
      </c>
      <c r="BX15" s="100">
        <f>IFERROR(BU15/BU3-1,0)</f>
        <v>-0.9645057406219022</v>
      </c>
      <c r="BY15" s="99"/>
      <c r="BZ15" s="56">
        <f t="shared" si="13"/>
        <v>0.13151100709177696</v>
      </c>
      <c r="CA15" s="56">
        <f>Datos1[[#This Row],[Adquisición Neta de Activos no Financieros]]/Datos1[[#This Row],[PIB nominal (miles de millones de G.)]]*100</f>
        <v>1.5902270938133833E-3</v>
      </c>
      <c r="CB15" s="56">
        <f>+Datos1[[#This Row],[ANANF acumulado por año]]/Datos1[[#This Row],[PIB nominal (miles de millones de G.)]]*100</f>
        <v>1.5902270938133833E-3</v>
      </c>
      <c r="CC15" s="56">
        <f>+Datos1[[#This Row],[ANANF acumulado 12 meses]]/Datos1[[#This Row],[PIB nominal (miles de millones de G.)]]*100</f>
        <v>1.8952922655216193</v>
      </c>
      <c r="CD15" s="4">
        <v>6.8065500000000001E-2</v>
      </c>
      <c r="CE15" s="4">
        <f t="shared" si="14"/>
        <v>9.7891978520923666E-3</v>
      </c>
      <c r="CF15" s="4">
        <f t="shared" si="15"/>
        <v>0.84634675199999998</v>
      </c>
      <c r="CG15" s="4">
        <f t="shared" si="16"/>
        <v>0.12172180923968458</v>
      </c>
      <c r="CH15" s="56">
        <f t="shared" si="17"/>
        <v>47.882302223000046</v>
      </c>
      <c r="CI15" s="56">
        <f>SUMIFS($CH$3:$CH15,$D$3:$D15,D15)</f>
        <v>47.882302223000046</v>
      </c>
      <c r="CJ15" s="56">
        <f t="shared" si="25"/>
        <v>-176.48101037499967</v>
      </c>
      <c r="CK15" s="56">
        <f>Datos1[[#This Row],[Resultado Fiscal (miles de millones de G.)]]*1000/$F$207</f>
        <v>6.8864451164632543</v>
      </c>
      <c r="CL15" s="56">
        <f t="shared" ref="CL15:CL78" si="33">SUM(CK4:CK15)</f>
        <v>-25.381544654752229</v>
      </c>
      <c r="CM15" s="100">
        <f>IFERROR(CH15/CH3-1,0)</f>
        <v>-5.7983645524920924</v>
      </c>
      <c r="CN15" s="100">
        <f>IFERROR(CI15/CI3-1,0)</f>
        <v>-5.7983645524920924</v>
      </c>
      <c r="CO15" s="99"/>
      <c r="CP15" s="4">
        <f t="shared" si="18"/>
        <v>8.3270684685855967E-2</v>
      </c>
      <c r="CQ15" s="4">
        <f t="shared" si="26"/>
        <v>-0.30691286520719685</v>
      </c>
      <c r="CR15" s="73">
        <v>226.08436212399999</v>
      </c>
      <c r="CS15" s="113">
        <f>SUM(Datos1[[#This Row],[FFPP]:[MTESS]])</f>
        <v>0</v>
      </c>
      <c r="CT15" s="113"/>
      <c r="CU15" s="113"/>
      <c r="CV15" s="113"/>
      <c r="CW15" s="113"/>
      <c r="CX15" s="113"/>
      <c r="CY15" s="113"/>
      <c r="CZ15" s="113"/>
    </row>
    <row r="16" spans="1:104">
      <c r="A16">
        <v>14</v>
      </c>
      <c r="B16" s="3">
        <v>38018</v>
      </c>
      <c r="C16" s="14" t="str">
        <f t="shared" si="0"/>
        <v>Febrero</v>
      </c>
      <c r="D16" s="14">
        <f t="shared" si="19"/>
        <v>2004</v>
      </c>
      <c r="E16" s="15">
        <f t="shared" si="1"/>
        <v>57501.991731711008</v>
      </c>
      <c r="F16" s="15">
        <f t="shared" si="2"/>
        <v>5975.6848701298695</v>
      </c>
      <c r="G16" s="56">
        <v>502.89529373300002</v>
      </c>
      <c r="H16" s="4">
        <f t="shared" si="20"/>
        <v>0.87457021676636115</v>
      </c>
      <c r="I16" s="4">
        <f>SUMIFS($G$3:$G16,$D$3:$D16,D16)</f>
        <v>880.78891467100004</v>
      </c>
      <c r="J16" s="2">
        <f t="shared" si="27"/>
        <v>6159.3697068780002</v>
      </c>
      <c r="K16" s="95">
        <f t="shared" ref="K16:K79" si="34">IFERROR(I16/I4-1,0)</f>
        <v>0.12004369803179693</v>
      </c>
      <c r="L16" s="95">
        <f t="shared" ref="L16:L79" si="35">IFERROR(G16/G4-1,0)</f>
        <v>0.27550877926767714</v>
      </c>
      <c r="M16" s="94"/>
      <c r="N16" s="4">
        <v>305.41434803599998</v>
      </c>
      <c r="O16" s="4">
        <f t="shared" si="3"/>
        <v>0.53113698993416092</v>
      </c>
      <c r="P16" s="4">
        <f>SUMIFS($N$3:$N16,$D$3:$D16,D16)</f>
        <v>624.48709322000002</v>
      </c>
      <c r="Q16" s="4">
        <f t="shared" si="23"/>
        <v>3825.6941647319991</v>
      </c>
      <c r="R16" s="97">
        <f t="shared" ref="R16:R79" si="36">IFERROR(N16/N4-1,0)</f>
        <v>0.3275852342063561</v>
      </c>
      <c r="S16" s="97">
        <f t="shared" ref="S16:S79" si="37">IFERROR(P16/P4-1,0)</f>
        <v>0.31577964582028972</v>
      </c>
      <c r="T16" s="96"/>
      <c r="U16" s="4">
        <v>125.02771813599999</v>
      </c>
      <c r="V16" s="4">
        <f t="shared" si="28"/>
        <v>1660.9112075899998</v>
      </c>
      <c r="W16" s="97"/>
      <c r="X16" s="97">
        <f t="shared" ref="X16:X79" si="38">IFERROR(U16/U4-1,0)</f>
        <v>0.12168075081448659</v>
      </c>
      <c r="Y16" s="4">
        <v>187.990607845</v>
      </c>
      <c r="Z16" s="4">
        <f t="shared" si="29"/>
        <v>2196.3314097840002</v>
      </c>
      <c r="AA16" s="97"/>
      <c r="AB16" s="97">
        <f t="shared" ref="AB16:AB79" si="39">IFERROR(Y16/Y4-1,0)</f>
        <v>0.50719651006101496</v>
      </c>
      <c r="AC16" s="4">
        <v>0</v>
      </c>
      <c r="AD16" s="4">
        <f t="shared" si="4"/>
        <v>0</v>
      </c>
      <c r="AE16" s="4">
        <v>16.509690730000003</v>
      </c>
      <c r="AF16" s="4">
        <f t="shared" si="5"/>
        <v>2.8711511084746122E-2</v>
      </c>
      <c r="AG16" s="4">
        <v>180.97125496700005</v>
      </c>
      <c r="AH16" s="4">
        <f t="shared" si="6"/>
        <v>30.284604844476512</v>
      </c>
      <c r="AI16" s="4">
        <v>152.609942738</v>
      </c>
      <c r="AJ16" s="4">
        <f t="shared" si="7"/>
        <v>21.948401519988376</v>
      </c>
      <c r="AK16" s="101">
        <f>SUMIFS($AJ$3:$AJ16,$D$3:$D16,D16)</f>
        <v>27.041264457891103</v>
      </c>
      <c r="AL16" s="4">
        <v>0</v>
      </c>
      <c r="AM16" s="4">
        <f t="shared" si="8"/>
        <v>0</v>
      </c>
      <c r="AN16" s="101">
        <f>SUMIFS($AM$3:$AM16,$D$3:$D16,D16)</f>
        <v>0</v>
      </c>
      <c r="AO16" s="4">
        <f t="shared" si="21"/>
        <v>28.361312229000049</v>
      </c>
      <c r="AP16" s="56">
        <v>387.35418030799991</v>
      </c>
      <c r="AQ16" s="4">
        <f t="shared" si="9"/>
        <v>0.67363611005909396</v>
      </c>
      <c r="AR16" s="4">
        <f>SUMIFS($AP$3:$AP16,$D$3:$D16,D16)</f>
        <v>716.45108677099984</v>
      </c>
      <c r="AS16" s="4">
        <f t="shared" si="30"/>
        <v>5173.0246182219998</v>
      </c>
      <c r="AT16" s="97">
        <f t="shared" ref="AT16:AT79" si="40">IFERROR(AP16/AP4-1,0)</f>
        <v>0.10129985915383233</v>
      </c>
      <c r="AU16" s="97">
        <f t="shared" ref="AU16:AU79" si="41">IFERROR(AR16/AR4-1,0)</f>
        <v>-1.5943370417257019E-2</v>
      </c>
      <c r="AV16" s="96"/>
      <c r="AW16" s="4">
        <v>222.40172229599992</v>
      </c>
      <c r="AX16" s="4">
        <f>SUMIFS($AW$3:$AW16,$D$3:$D16,D16)</f>
        <v>436.84588185099989</v>
      </c>
      <c r="AY16" s="4">
        <f t="shared" si="31"/>
        <v>2737.2103958960001</v>
      </c>
      <c r="AZ16" s="97">
        <f t="shared" ref="AZ16:AZ79" si="42">IFERROR(AW16/AW4-1,0)</f>
        <v>6.3680991258738828E-2</v>
      </c>
      <c r="BA16" s="97">
        <f t="shared" ref="BA16:BA79" si="43">IFERROR(AX16/AX4-1,0)</f>
        <v>7.7960035938052341E-2</v>
      </c>
      <c r="BB16" s="96"/>
      <c r="BC16" s="4">
        <v>171.691723083</v>
      </c>
      <c r="BD16" s="4">
        <f t="shared" si="22"/>
        <v>50.709999212999918</v>
      </c>
      <c r="BE16" s="4">
        <v>17.219688692999998</v>
      </c>
      <c r="BF16" s="4">
        <v>49.296783963000003</v>
      </c>
      <c r="BG16" s="4">
        <f t="shared" si="10"/>
        <v>7.0898762469336312</v>
      </c>
      <c r="BH16" s="4">
        <f>Datos1[[#This Row],[Intereses]]/Datos1[[#This Row],[PIB nominal (miles de millones de G.)]]*100</f>
        <v>8.5730567721907236E-2</v>
      </c>
      <c r="BI16" s="4">
        <v>24.302487460999998</v>
      </c>
      <c r="BJ16" s="4">
        <v>73.301810293000003</v>
      </c>
      <c r="BK16" s="4">
        <v>0.83168760199999991</v>
      </c>
      <c r="BL16" s="56">
        <f t="shared" si="11"/>
        <v>115.54111342500011</v>
      </c>
      <c r="BM16" s="56">
        <f>SUMIFS($BL$3:$BL16,$D$3:$D16,D16)</f>
        <v>164.33782790000015</v>
      </c>
      <c r="BN16" s="56">
        <f t="shared" si="24"/>
        <v>986.34508865600037</v>
      </c>
      <c r="BO16" s="100">
        <f t="shared" ref="BO16:BO79" si="44">IFERROR(BL16/BL4-1,0)</f>
        <v>1.7156868460477677</v>
      </c>
      <c r="BP16" s="100">
        <f t="shared" ref="BP16:BP79" si="45">IFERROR(BM16/BM4-1,0)</f>
        <v>1.8174198237230414</v>
      </c>
      <c r="BQ16" s="99"/>
      <c r="BR16" s="2">
        <f t="shared" si="12"/>
        <v>0.20093410670726711</v>
      </c>
      <c r="BS16" s="2">
        <f>+Datos1[[#This Row],[RON acumulado 12 meses]]/Datos1[[#This Row],[PIB nominal (miles de millones de G.)]]*100</f>
        <v>1.7153233461164688</v>
      </c>
      <c r="BT16" s="56">
        <v>18.582643844000003</v>
      </c>
      <c r="BU16" s="56">
        <f>SUMIFS($BT$3:$BT16,$D$3:$D16,D16)</f>
        <v>19.497056096000001</v>
      </c>
      <c r="BV16" s="56">
        <f t="shared" si="32"/>
        <v>1086.3926283079998</v>
      </c>
      <c r="BW16" s="100">
        <f t="shared" ref="BW16:BW79" si="46">IFERROR(BT16/BT4-1,0)</f>
        <v>-0.15613287416473942</v>
      </c>
      <c r="BX16" s="100">
        <f t="shared" ref="BX16:BX79" si="47">IFERROR(BU16/BU4-1,0)</f>
        <v>-0.59196732036314093</v>
      </c>
      <c r="BY16" s="99"/>
      <c r="BZ16" s="56">
        <f t="shared" si="13"/>
        <v>2.6725606541328908</v>
      </c>
      <c r="CA16" s="56">
        <f>Datos1[[#This Row],[Adquisición Neta de Activos no Financieros]]/Datos1[[#This Row],[PIB nominal (miles de millones de G.)]]*100</f>
        <v>3.231652206188209E-2</v>
      </c>
      <c r="CB16" s="56">
        <f>+Datos1[[#This Row],[ANANF acumulado por año]]/Datos1[[#This Row],[PIB nominal (miles de millones de G.)]]*100</f>
        <v>3.390674915569547E-2</v>
      </c>
      <c r="CC16" s="56">
        <f>+Datos1[[#This Row],[ANANF acumulado 12 meses]]/Datos1[[#This Row],[PIB nominal (miles de millones de G.)]]*100</f>
        <v>1.8893130404540048</v>
      </c>
      <c r="CD16" s="4">
        <v>9.8447968699999997</v>
      </c>
      <c r="CE16" s="4">
        <f t="shared" si="14"/>
        <v>1.415881237544566</v>
      </c>
      <c r="CF16" s="4">
        <f t="shared" si="15"/>
        <v>8.7378469740000035</v>
      </c>
      <c r="CG16" s="4">
        <f t="shared" si="16"/>
        <v>1.2566794165883248</v>
      </c>
      <c r="CH16" s="56">
        <f t="shared" si="17"/>
        <v>96.958469581000102</v>
      </c>
      <c r="CI16" s="56">
        <f>SUMIFS($CH$3:$CH16,$D$3:$D16,D16)</f>
        <v>144.84077180400016</v>
      </c>
      <c r="CJ16" s="56">
        <f t="shared" si="25"/>
        <v>-100.04753965199954</v>
      </c>
      <c r="CK16" s="56">
        <f>Datos1[[#This Row],[Resultado Fiscal (miles de millones de G.)]]*1000/$F$207</f>
        <v>13.944592226083541</v>
      </c>
      <c r="CL16" s="56">
        <f t="shared" si="33"/>
        <v>-14.388863084359633</v>
      </c>
      <c r="CM16" s="100">
        <f t="shared" ref="CM16:CM79" si="48">IFERROR(CH16/CH4-1,0)</f>
        <v>3.7239208270751645</v>
      </c>
      <c r="CN16" s="100">
        <f t="shared" ref="CN16:CN79" si="49">IFERROR(CI16/CI4-1,0)</f>
        <v>12.734035096736831</v>
      </c>
      <c r="CO16" s="99"/>
      <c r="CP16" s="4">
        <f t="shared" si="18"/>
        <v>0.16861758464538501</v>
      </c>
      <c r="CQ16" s="4">
        <f t="shared" si="26"/>
        <v>-0.17398969433753658</v>
      </c>
      <c r="CR16" s="73">
        <v>234.747980899</v>
      </c>
      <c r="CS16" s="113">
        <f>SUM(Datos1[[#This Row],[FFPP]:[MTESS]])</f>
        <v>0</v>
      </c>
      <c r="CT16" s="113"/>
      <c r="CU16" s="113"/>
      <c r="CV16" s="113"/>
      <c r="CW16" s="113"/>
      <c r="CX16" s="113"/>
      <c r="CY16" s="113"/>
      <c r="CZ16" s="113"/>
    </row>
    <row r="17" spans="1:104">
      <c r="A17">
        <v>15</v>
      </c>
      <c r="B17" s="3">
        <v>38047</v>
      </c>
      <c r="C17" s="14" t="str">
        <f t="shared" si="0"/>
        <v>Marzo</v>
      </c>
      <c r="D17" s="14">
        <f t="shared" si="19"/>
        <v>2004</v>
      </c>
      <c r="E17" s="15">
        <f t="shared" si="1"/>
        <v>57501.991731711008</v>
      </c>
      <c r="F17" s="15">
        <f t="shared" si="2"/>
        <v>5975.6848701298695</v>
      </c>
      <c r="G17" s="56">
        <v>614.61959754999998</v>
      </c>
      <c r="H17" s="4">
        <f t="shared" si="20"/>
        <v>1.0688666236426236</v>
      </c>
      <c r="I17" s="4">
        <f>SUMIFS($G$3:$G17,$D$3:$D17,D17)</f>
        <v>1495.4085122209999</v>
      </c>
      <c r="J17" s="2">
        <f t="shared" si="27"/>
        <v>6362.1537559939989</v>
      </c>
      <c r="K17" s="95">
        <f t="shared" si="34"/>
        <v>0.24802130965741997</v>
      </c>
      <c r="L17" s="95">
        <f t="shared" si="35"/>
        <v>0.49239083388280558</v>
      </c>
      <c r="M17" s="94"/>
      <c r="N17" s="4">
        <v>364.64744979199997</v>
      </c>
      <c r="O17" s="4">
        <f t="shared" si="3"/>
        <v>0.63414751178245787</v>
      </c>
      <c r="P17" s="4">
        <f>SUMIFS($N$3:$N17,$D$3:$D17,D17)</f>
        <v>989.13454301199999</v>
      </c>
      <c r="Q17" s="4">
        <f t="shared" si="23"/>
        <v>3948.6643493269994</v>
      </c>
      <c r="R17" s="97">
        <f t="shared" si="36"/>
        <v>0.50881982835564799</v>
      </c>
      <c r="S17" s="97">
        <f t="shared" si="37"/>
        <v>0.38091158705921457</v>
      </c>
      <c r="T17" s="96"/>
      <c r="U17" s="4">
        <v>135.32531167299999</v>
      </c>
      <c r="V17" s="4">
        <f t="shared" si="28"/>
        <v>1684.0124361649998</v>
      </c>
      <c r="W17" s="97"/>
      <c r="X17" s="97">
        <f t="shared" si="38"/>
        <v>0.20584911845371701</v>
      </c>
      <c r="Y17" s="4">
        <v>225.42790476100001</v>
      </c>
      <c r="Z17" s="4">
        <f t="shared" si="29"/>
        <v>2298.4360110729999</v>
      </c>
      <c r="AA17" s="97"/>
      <c r="AB17" s="97">
        <f t="shared" si="39"/>
        <v>0.82794247651809294</v>
      </c>
      <c r="AC17" s="4">
        <v>92.175632925000002</v>
      </c>
      <c r="AD17" s="4">
        <f t="shared" si="4"/>
        <v>0.16029989596719879</v>
      </c>
      <c r="AE17" s="4">
        <v>16.252148076000001</v>
      </c>
      <c r="AF17" s="4">
        <f t="shared" si="5"/>
        <v>2.8263626331115971E-2</v>
      </c>
      <c r="AG17" s="4">
        <v>141.54436675700001</v>
      </c>
      <c r="AH17" s="4">
        <f t="shared" si="6"/>
        <v>23.686718733199168</v>
      </c>
      <c r="AI17" s="4">
        <v>103.989614613</v>
      </c>
      <c r="AJ17" s="4">
        <f t="shared" si="7"/>
        <v>14.955813327008434</v>
      </c>
      <c r="AK17" s="101">
        <f>SUMIFS($AJ$3:$AJ17,$D$3:$D17,D17)</f>
        <v>41.997077784899538</v>
      </c>
      <c r="AL17" s="4">
        <v>0</v>
      </c>
      <c r="AM17" s="4">
        <f t="shared" si="8"/>
        <v>0</v>
      </c>
      <c r="AN17" s="101">
        <f>SUMIFS($AM$3:$AM17,$D$3:$D17,D17)</f>
        <v>0</v>
      </c>
      <c r="AO17" s="4">
        <f t="shared" si="21"/>
        <v>37.554752144000005</v>
      </c>
      <c r="AP17" s="56">
        <v>413.62045539399998</v>
      </c>
      <c r="AQ17" s="4">
        <f t="shared" si="9"/>
        <v>0.71931500620681621</v>
      </c>
      <c r="AR17" s="4">
        <f>SUMIFS($AP$3:$AP17,$D$3:$D17,D17)</f>
        <v>1130.0715421649998</v>
      </c>
      <c r="AS17" s="4">
        <f t="shared" si="30"/>
        <v>5183.7623052749987</v>
      </c>
      <c r="AT17" s="97">
        <f t="shared" si="40"/>
        <v>2.6652137784934027E-2</v>
      </c>
      <c r="AU17" s="97">
        <f t="shared" si="41"/>
        <v>-7.6929177686368977E-4</v>
      </c>
      <c r="AV17" s="96"/>
      <c r="AW17" s="4">
        <v>226.80953409100002</v>
      </c>
      <c r="AX17" s="4">
        <f>SUMIFS($AW$3:$AW17,$D$3:$D17,D17)</f>
        <v>663.65541594199988</v>
      </c>
      <c r="AY17" s="4">
        <f t="shared" si="31"/>
        <v>2756.721539524</v>
      </c>
      <c r="AZ17" s="97">
        <f t="shared" si="42"/>
        <v>9.4121057015551512E-2</v>
      </c>
      <c r="BA17" s="97">
        <f t="shared" si="43"/>
        <v>8.3429221121667618E-2</v>
      </c>
      <c r="BB17" s="96"/>
      <c r="BC17" s="4">
        <v>171.94194045399999</v>
      </c>
      <c r="BD17" s="4">
        <f t="shared" si="22"/>
        <v>54.867593637000027</v>
      </c>
      <c r="BE17" s="4">
        <v>36.045227756999999</v>
      </c>
      <c r="BF17" s="4">
        <v>38.818497961999995</v>
      </c>
      <c r="BG17" s="4">
        <f t="shared" si="10"/>
        <v>5.5828864383727774</v>
      </c>
      <c r="BH17" s="4">
        <f>Datos1[[#This Row],[Intereses]]/Datos1[[#This Row],[PIB nominal (miles de millones de G.)]]*100</f>
        <v>6.7508092838099901E-2</v>
      </c>
      <c r="BI17" s="4">
        <v>28.800872961999996</v>
      </c>
      <c r="BJ17" s="4">
        <v>76.056815360000016</v>
      </c>
      <c r="BK17" s="4">
        <v>7.0895072619999997</v>
      </c>
      <c r="BL17" s="56">
        <f t="shared" si="11"/>
        <v>200.999142156</v>
      </c>
      <c r="BM17" s="56">
        <f>SUMIFS($BL$3:$BL17,$D$3:$D17,D17)</f>
        <v>365.33697005600015</v>
      </c>
      <c r="BN17" s="56">
        <f t="shared" si="24"/>
        <v>1178.3914507190004</v>
      </c>
      <c r="BO17" s="100">
        <f t="shared" si="44"/>
        <v>21.451030860587611</v>
      </c>
      <c r="BP17" s="100">
        <f t="shared" si="45"/>
        <v>4.4299383180482241</v>
      </c>
      <c r="BQ17" s="99"/>
      <c r="BR17" s="2">
        <f t="shared" si="12"/>
        <v>0.34955161743580726</v>
      </c>
      <c r="BS17" s="2">
        <f>+Datos1[[#This Row],[RON acumulado 12 meses]]/Datos1[[#This Row],[PIB nominal (miles de millones de G.)]]*100</f>
        <v>2.0493054505260644</v>
      </c>
      <c r="BT17" s="56">
        <v>99.688232505000002</v>
      </c>
      <c r="BU17" s="56">
        <f>SUMIFS($BT$3:$BT17,$D$3:$D17,D17)</f>
        <v>119.185288601</v>
      </c>
      <c r="BV17" s="56">
        <f t="shared" si="32"/>
        <v>1133.4335127150002</v>
      </c>
      <c r="BW17" s="100">
        <f t="shared" si="46"/>
        <v>0.89350909602200868</v>
      </c>
      <c r="BX17" s="100">
        <f t="shared" si="47"/>
        <v>0.18674486309670857</v>
      </c>
      <c r="BY17" s="99"/>
      <c r="BZ17" s="56">
        <f t="shared" si="13"/>
        <v>14.337187437348298</v>
      </c>
      <c r="CA17" s="56">
        <f>Datos1[[#This Row],[Adquisición Neta de Activos no Financieros]]/Datos1[[#This Row],[PIB nominal (miles de millones de G.)]]*100</f>
        <v>0.1733648339871752</v>
      </c>
      <c r="CB17" s="56">
        <f>+Datos1[[#This Row],[ANANF acumulado por año]]/Datos1[[#This Row],[PIB nominal (miles de millones de G.)]]*100</f>
        <v>0.20727158314287064</v>
      </c>
      <c r="CC17" s="56">
        <f>+Datos1[[#This Row],[ANANF acumulado 12 meses]]/Datos1[[#This Row],[PIB nominal (miles de millones de G.)]]*100</f>
        <v>1.9711204404941298</v>
      </c>
      <c r="CD17" s="4">
        <v>54.624077875000005</v>
      </c>
      <c r="CE17" s="4">
        <f t="shared" si="14"/>
        <v>7.8560490381540751</v>
      </c>
      <c r="CF17" s="4">
        <f t="shared" si="15"/>
        <v>45.064154629999997</v>
      </c>
      <c r="CG17" s="4">
        <f t="shared" si="16"/>
        <v>6.4811383991942213</v>
      </c>
      <c r="CH17" s="56">
        <f t="shared" si="17"/>
        <v>101.310909651</v>
      </c>
      <c r="CI17" s="56">
        <f>SUMIFS($CH$3:$CH17,$D$3:$D17,D17)</f>
        <v>246.15168145500016</v>
      </c>
      <c r="CJ17" s="56">
        <f t="shared" si="25"/>
        <v>44.957938004000326</v>
      </c>
      <c r="CK17" s="56">
        <f>Datos1[[#This Row],[Resultado Fiscal (miles de millones de G.)]]*1000/$F$207</f>
        <v>14.570561285072365</v>
      </c>
      <c r="CL17" s="56">
        <f t="shared" si="33"/>
        <v>6.4658622965123502</v>
      </c>
      <c r="CM17" s="100">
        <f t="shared" si="48"/>
        <v>-3.318615660404451</v>
      </c>
      <c r="CN17" s="100">
        <f t="shared" si="49"/>
        <v>-8.4257375726659518</v>
      </c>
      <c r="CO17" s="99"/>
      <c r="CP17" s="4">
        <f t="shared" si="18"/>
        <v>0.17618678344863209</v>
      </c>
      <c r="CQ17" s="4">
        <f t="shared" si="26"/>
        <v>7.8185010031934371E-2</v>
      </c>
      <c r="CR17" s="73">
        <v>236.492305225</v>
      </c>
      <c r="CS17" s="113">
        <f>SUM(Datos1[[#This Row],[FFPP]:[MTESS]])</f>
        <v>0</v>
      </c>
      <c r="CT17" s="113"/>
      <c r="CU17" s="113"/>
      <c r="CV17" s="113"/>
      <c r="CW17" s="113"/>
      <c r="CX17" s="113"/>
      <c r="CY17" s="113"/>
      <c r="CZ17" s="113"/>
    </row>
    <row r="18" spans="1:104">
      <c r="A18">
        <v>16</v>
      </c>
      <c r="B18" s="3">
        <v>38078</v>
      </c>
      <c r="C18" s="14" t="str">
        <f t="shared" si="0"/>
        <v>Abril</v>
      </c>
      <c r="D18" s="14">
        <f t="shared" si="19"/>
        <v>2004</v>
      </c>
      <c r="E18" s="15">
        <f t="shared" si="1"/>
        <v>57501.991731711008</v>
      </c>
      <c r="F18" s="15">
        <f t="shared" si="2"/>
        <v>5975.6848701298695</v>
      </c>
      <c r="G18" s="56">
        <v>628.28930276300002</v>
      </c>
      <c r="H18" s="4">
        <f t="shared" si="20"/>
        <v>1.0926392005592271</v>
      </c>
      <c r="I18" s="4">
        <f>SUMIFS($G$3:$G18,$D$3:$D18,D18)</f>
        <v>2123.6978149839997</v>
      </c>
      <c r="J18" s="2">
        <f t="shared" si="27"/>
        <v>6478.6652151179987</v>
      </c>
      <c r="K18" s="95">
        <f t="shared" si="34"/>
        <v>0.24192754154359131</v>
      </c>
      <c r="L18" s="95">
        <f t="shared" si="35"/>
        <v>0.22766022517806661</v>
      </c>
      <c r="M18" s="94"/>
      <c r="N18" s="4">
        <v>413.53998708300003</v>
      </c>
      <c r="O18" s="4">
        <f t="shared" si="3"/>
        <v>0.71917506616547744</v>
      </c>
      <c r="P18" s="4">
        <f>SUMIFS($N$3:$N18,$D$3:$D18,D18)</f>
        <v>1402.6745300950001</v>
      </c>
      <c r="Q18" s="4">
        <f t="shared" si="23"/>
        <v>4064.1237626819998</v>
      </c>
      <c r="R18" s="97">
        <f t="shared" si="36"/>
        <v>0.3873429653968572</v>
      </c>
      <c r="S18" s="97">
        <f t="shared" si="37"/>
        <v>0.38280149505000827</v>
      </c>
      <c r="T18" s="96"/>
      <c r="U18" s="4">
        <v>250.13185006199998</v>
      </c>
      <c r="V18" s="4">
        <f t="shared" si="28"/>
        <v>1771.2503425089999</v>
      </c>
      <c r="W18" s="97"/>
      <c r="X18" s="97">
        <f t="shared" si="38"/>
        <v>0.53555033632818905</v>
      </c>
      <c r="Y18" s="4">
        <v>198.50307117200001</v>
      </c>
      <c r="Z18" s="4">
        <f t="shared" si="29"/>
        <v>2355.0117478759998</v>
      </c>
      <c r="AA18" s="97"/>
      <c r="AB18" s="97">
        <f t="shared" si="39"/>
        <v>0.39862466983215161</v>
      </c>
      <c r="AC18" s="4">
        <v>56.506457008999995</v>
      </c>
      <c r="AD18" s="4">
        <f t="shared" si="4"/>
        <v>9.82686952351913E-2</v>
      </c>
      <c r="AE18" s="4">
        <v>12.580065502</v>
      </c>
      <c r="AF18" s="4">
        <f t="shared" si="5"/>
        <v>2.1877616971417681E-2</v>
      </c>
      <c r="AG18" s="4">
        <v>145.662793169</v>
      </c>
      <c r="AH18" s="4">
        <f t="shared" si="6"/>
        <v>24.375916122537152</v>
      </c>
      <c r="AI18" s="4">
        <v>92.793573688999999</v>
      </c>
      <c r="AJ18" s="4">
        <f t="shared" si="7"/>
        <v>13.345595819384762</v>
      </c>
      <c r="AK18" s="101">
        <f>SUMIFS($AJ$3:$AJ18,$D$3:$D18,D18)</f>
        <v>55.3426736042843</v>
      </c>
      <c r="AL18" s="4">
        <v>28.6</v>
      </c>
      <c r="AM18" s="4">
        <f t="shared" si="8"/>
        <v>4.1132594129161131</v>
      </c>
      <c r="AN18" s="101">
        <f>SUMIFS($AM$3:$AM18,$D$3:$D18,D18)</f>
        <v>4.1132594129161131</v>
      </c>
      <c r="AO18" s="4">
        <f t="shared" si="21"/>
        <v>24.269219479999997</v>
      </c>
      <c r="AP18" s="56">
        <v>415.15322533699998</v>
      </c>
      <c r="AQ18" s="4">
        <f t="shared" si="9"/>
        <v>0.72198060073117898</v>
      </c>
      <c r="AR18" s="4">
        <f>SUMIFS($AP$3:$AP18,$D$3:$D18,D18)</f>
        <v>1545.2247675019998</v>
      </c>
      <c r="AS18" s="4">
        <f t="shared" si="30"/>
        <v>5221.418302443999</v>
      </c>
      <c r="AT18" s="97">
        <f t="shared" si="40"/>
        <v>9.9751718315244764E-2</v>
      </c>
      <c r="AU18" s="97">
        <f t="shared" si="41"/>
        <v>2.4386785369783448E-2</v>
      </c>
      <c r="AV18" s="96"/>
      <c r="AW18" s="4">
        <v>226.65420453199999</v>
      </c>
      <c r="AX18" s="4">
        <f>SUMIFS($AW$3:$AW18,$D$3:$D18,D18)</f>
        <v>890.30962047399987</v>
      </c>
      <c r="AY18" s="4">
        <f t="shared" si="31"/>
        <v>2774.2760325539994</v>
      </c>
      <c r="AZ18" s="97">
        <f t="shared" si="42"/>
        <v>8.3952736729778321E-2</v>
      </c>
      <c r="BA18" s="97">
        <f t="shared" si="43"/>
        <v>8.3562449256469717E-2</v>
      </c>
      <c r="BB18" s="96"/>
      <c r="BC18" s="4">
        <v>173.66531447</v>
      </c>
      <c r="BD18" s="4">
        <f t="shared" si="22"/>
        <v>52.988890061999996</v>
      </c>
      <c r="BE18" s="4">
        <v>45.554461945</v>
      </c>
      <c r="BF18" s="4">
        <v>21.095138304999999</v>
      </c>
      <c r="BG18" s="4">
        <f t="shared" si="10"/>
        <v>3.0339082587345629</v>
      </c>
      <c r="BH18" s="4">
        <f>Datos1[[#This Row],[Intereses]]/Datos1[[#This Row],[PIB nominal (miles de millones de G.)]]*100</f>
        <v>3.6685926295256521E-2</v>
      </c>
      <c r="BI18" s="4">
        <v>36.052671164000003</v>
      </c>
      <c r="BJ18" s="4">
        <v>74.798975628999997</v>
      </c>
      <c r="BK18" s="4">
        <v>10.997773762000001</v>
      </c>
      <c r="BL18" s="56">
        <f t="shared" si="11"/>
        <v>213.13607742600004</v>
      </c>
      <c r="BM18" s="56">
        <f>SUMIFS($BL$3:$BL18,$D$3:$D18,D18)</f>
        <v>578.4730474820002</v>
      </c>
      <c r="BN18" s="56">
        <f t="shared" si="24"/>
        <v>1257.2469126740002</v>
      </c>
      <c r="BO18" s="100">
        <f t="shared" si="44"/>
        <v>0.58724382278416165</v>
      </c>
      <c r="BP18" s="100">
        <f t="shared" si="45"/>
        <v>1.8699425240705798</v>
      </c>
      <c r="BQ18" s="99"/>
      <c r="BR18" s="2">
        <f t="shared" si="12"/>
        <v>0.37065859982804816</v>
      </c>
      <c r="BS18" s="2">
        <f>+Datos1[[#This Row],[RON acumulado 12 meses]]/Datos1[[#This Row],[PIB nominal (miles de millones de G.)]]*100</f>
        <v>2.1864406341609519</v>
      </c>
      <c r="BT18" s="56">
        <v>78.605806612999984</v>
      </c>
      <c r="BU18" s="56">
        <f>SUMIFS($BT$3:$BT18,$D$3:$D18,D18)</f>
        <v>197.79109521399999</v>
      </c>
      <c r="BV18" s="56">
        <f t="shared" si="32"/>
        <v>1129.4573230140002</v>
      </c>
      <c r="BW18" s="100">
        <f t="shared" si="46"/>
        <v>-4.8148384375226505E-2</v>
      </c>
      <c r="BX18" s="100">
        <f t="shared" si="47"/>
        <v>8.0752311503839769E-2</v>
      </c>
      <c r="BY18" s="99"/>
      <c r="BZ18" s="56">
        <f t="shared" si="13"/>
        <v>11.305107481146358</v>
      </c>
      <c r="CA18" s="56">
        <f>Datos1[[#This Row],[Adquisición Neta de Activos no Financieros]]/Datos1[[#This Row],[PIB nominal (miles de millones de G.)]]*100</f>
        <v>0.1367010154704793</v>
      </c>
      <c r="CB18" s="56">
        <f>+Datos1[[#This Row],[ANANF acumulado por año]]/Datos1[[#This Row],[PIB nominal (miles de millones de G.)]]*100</f>
        <v>0.34397259861335</v>
      </c>
      <c r="CC18" s="56">
        <f>+Datos1[[#This Row],[ANANF acumulado 12 meses]]/Datos1[[#This Row],[PIB nominal (miles de millones de G.)]]*100</f>
        <v>1.9642055674936401</v>
      </c>
      <c r="CD18" s="4">
        <v>46.932023812999994</v>
      </c>
      <c r="CE18" s="4">
        <f t="shared" si="14"/>
        <v>6.7497758292316572</v>
      </c>
      <c r="CF18" s="4">
        <f t="shared" si="15"/>
        <v>31.673782799999991</v>
      </c>
      <c r="CG18" s="4">
        <f t="shared" si="16"/>
        <v>4.5553316519147007</v>
      </c>
      <c r="CH18" s="56">
        <f t="shared" si="17"/>
        <v>134.53027081300007</v>
      </c>
      <c r="CI18" s="56">
        <f>SUMIFS($CH$3:$CH18,$D$3:$D18,D18)</f>
        <v>380.68195226800026</v>
      </c>
      <c r="CJ18" s="56">
        <f t="shared" si="25"/>
        <v>127.78958966000043</v>
      </c>
      <c r="CK18" s="56">
        <f>Datos1[[#This Row],[Resultado Fiscal (miles de millones de G.)]]*1000/$F$207</f>
        <v>19.348178417612811</v>
      </c>
      <c r="CL18" s="56">
        <f t="shared" si="33"/>
        <v>18.3787319070519</v>
      </c>
      <c r="CM18" s="100">
        <f t="shared" si="48"/>
        <v>1.6022023993417376</v>
      </c>
      <c r="CN18" s="100">
        <f t="shared" si="49"/>
        <v>19.521749621832477</v>
      </c>
      <c r="CO18" s="99"/>
      <c r="CP18" s="4">
        <f t="shared" si="18"/>
        <v>0.23395758435756889</v>
      </c>
      <c r="CQ18" s="4">
        <f t="shared" si="26"/>
        <v>0.22223506666731238</v>
      </c>
      <c r="CR18" s="73">
        <v>237.090238344</v>
      </c>
      <c r="CS18" s="113">
        <f>SUM(Datos1[[#This Row],[FFPP]:[MTESS]])</f>
        <v>0</v>
      </c>
      <c r="CT18" s="113"/>
      <c r="CU18" s="113"/>
      <c r="CV18" s="113"/>
      <c r="CW18" s="113"/>
      <c r="CX18" s="113"/>
      <c r="CY18" s="113"/>
      <c r="CZ18" s="113"/>
    </row>
    <row r="19" spans="1:104">
      <c r="A19">
        <v>17</v>
      </c>
      <c r="B19" s="3">
        <v>38108</v>
      </c>
      <c r="C19" s="14" t="str">
        <f t="shared" si="0"/>
        <v>Mayo</v>
      </c>
      <c r="D19" s="14">
        <f t="shared" si="19"/>
        <v>2004</v>
      </c>
      <c r="E19" s="15">
        <f t="shared" si="1"/>
        <v>57501.991731711008</v>
      </c>
      <c r="F19" s="15">
        <f t="shared" si="2"/>
        <v>5975.6848701298695</v>
      </c>
      <c r="G19" s="56">
        <v>743.63048793100006</v>
      </c>
      <c r="H19" s="4">
        <f t="shared" si="20"/>
        <v>1.2932256179935158</v>
      </c>
      <c r="I19" s="4">
        <f>SUMIFS($G$3:$G19,$D$3:$D19,D19)</f>
        <v>2867.3283029149998</v>
      </c>
      <c r="J19" s="2">
        <f t="shared" si="27"/>
        <v>6765.0430675919988</v>
      </c>
      <c r="K19" s="95">
        <f t="shared" si="34"/>
        <v>0.32302364053708721</v>
      </c>
      <c r="L19" s="95">
        <f t="shared" si="35"/>
        <v>0.62630115228921635</v>
      </c>
      <c r="M19" s="94"/>
      <c r="N19" s="4">
        <v>482.40294374600001</v>
      </c>
      <c r="O19" s="4">
        <f t="shared" si="3"/>
        <v>0.83893258166910767</v>
      </c>
      <c r="P19" s="4">
        <f>SUMIFS($N$3:$N19,$D$3:$D19,D19)</f>
        <v>1885.077473841</v>
      </c>
      <c r="Q19" s="4">
        <f t="shared" si="23"/>
        <v>4237.1129868010003</v>
      </c>
      <c r="R19" s="97">
        <f t="shared" si="36"/>
        <v>0.55908711587688975</v>
      </c>
      <c r="S19" s="97">
        <f t="shared" si="37"/>
        <v>0.42400545001812517</v>
      </c>
      <c r="T19" s="96"/>
      <c r="U19" s="4">
        <v>205.46378284400001</v>
      </c>
      <c r="V19" s="4">
        <f t="shared" si="28"/>
        <v>1821.2568404479998</v>
      </c>
      <c r="W19" s="97"/>
      <c r="X19" s="97">
        <f t="shared" si="38"/>
        <v>0.32167355791373198</v>
      </c>
      <c r="Y19" s="4">
        <v>248.08806689099995</v>
      </c>
      <c r="Z19" s="4">
        <f t="shared" si="29"/>
        <v>2453.2029280409997</v>
      </c>
      <c r="AA19" s="97"/>
      <c r="AB19" s="97">
        <f t="shared" si="39"/>
        <v>0.65505816904980763</v>
      </c>
      <c r="AC19" s="4">
        <v>25.185353263</v>
      </c>
      <c r="AD19" s="4">
        <f t="shared" si="4"/>
        <v>4.3799097221724349E-2</v>
      </c>
      <c r="AE19" s="4">
        <v>19.322107380999999</v>
      </c>
      <c r="AF19" s="4">
        <f t="shared" si="5"/>
        <v>3.3602501059705567E-2</v>
      </c>
      <c r="AG19" s="4">
        <v>216.72008354100001</v>
      </c>
      <c r="AH19" s="4">
        <f t="shared" si="6"/>
        <v>36.266986671987944</v>
      </c>
      <c r="AI19" s="4">
        <v>156.928030718</v>
      </c>
      <c r="AJ19" s="4">
        <f t="shared" si="7"/>
        <v>22.569430052489594</v>
      </c>
      <c r="AK19" s="101">
        <f>SUMIFS($AJ$3:$AJ19,$D$3:$D19,D19)</f>
        <v>77.912103656773894</v>
      </c>
      <c r="AL19" s="4">
        <v>28.431305823999999</v>
      </c>
      <c r="AM19" s="4">
        <f t="shared" si="8"/>
        <v>4.0889977727994653</v>
      </c>
      <c r="AN19" s="101">
        <f>SUMIFS($AM$3:$AM19,$D$3:$D19,D19)</f>
        <v>8.2022571857155775</v>
      </c>
      <c r="AO19" s="4">
        <f t="shared" si="21"/>
        <v>31.360746999000007</v>
      </c>
      <c r="AP19" s="56">
        <v>421.6836952729999</v>
      </c>
      <c r="AQ19" s="4">
        <f t="shared" si="9"/>
        <v>0.73333754635920056</v>
      </c>
      <c r="AR19" s="4">
        <f>SUMIFS($AP$3:$AP19,$D$3:$D19,D19)</f>
        <v>1966.9084627749999</v>
      </c>
      <c r="AS19" s="4">
        <f t="shared" si="30"/>
        <v>5246.7568456719991</v>
      </c>
      <c r="AT19" s="97">
        <f t="shared" si="40"/>
        <v>6.3930498701099348E-2</v>
      </c>
      <c r="AU19" s="97">
        <f t="shared" si="41"/>
        <v>3.2614993667181125E-2</v>
      </c>
      <c r="AV19" s="96"/>
      <c r="AW19" s="4">
        <v>226.26211792499996</v>
      </c>
      <c r="AX19" s="4">
        <f>SUMIFS($AW$3:$AW19,$D$3:$D19,D19)</f>
        <v>1116.5717383989997</v>
      </c>
      <c r="AY19" s="4">
        <f t="shared" si="31"/>
        <v>2792.68527008</v>
      </c>
      <c r="AZ19" s="97">
        <f t="shared" si="42"/>
        <v>8.8568594722676419E-2</v>
      </c>
      <c r="BA19" s="97">
        <f t="shared" si="43"/>
        <v>8.4573171301561834E-2</v>
      </c>
      <c r="BB19" s="96"/>
      <c r="BC19" s="4">
        <v>175.292330698</v>
      </c>
      <c r="BD19" s="4">
        <f t="shared" si="22"/>
        <v>50.969787226999955</v>
      </c>
      <c r="BE19" s="4">
        <v>39.960529897999997</v>
      </c>
      <c r="BF19" s="4">
        <v>22.915008738000001</v>
      </c>
      <c r="BG19" s="4">
        <f t="shared" si="10"/>
        <v>3.295642496106066</v>
      </c>
      <c r="BH19" s="4">
        <f>Datos1[[#This Row],[Intereses]]/Datos1[[#This Row],[PIB nominal (miles de millones de G.)]]*100</f>
        <v>3.9850808724879193E-2</v>
      </c>
      <c r="BI19" s="4">
        <v>51.429796720999995</v>
      </c>
      <c r="BJ19" s="4">
        <v>75.942538807000005</v>
      </c>
      <c r="BK19" s="4">
        <v>5.1737031840000007</v>
      </c>
      <c r="BL19" s="56">
        <f t="shared" si="11"/>
        <v>321.94679265800016</v>
      </c>
      <c r="BM19" s="56">
        <f>SUMIFS($BL$3:$BL19,$D$3:$D19,D19)</f>
        <v>900.41984014000036</v>
      </c>
      <c r="BN19" s="56">
        <f t="shared" si="24"/>
        <v>1518.2862219200006</v>
      </c>
      <c r="BO19" s="100">
        <f t="shared" si="44"/>
        <v>4.2858331131535472</v>
      </c>
      <c r="BP19" s="100">
        <f t="shared" si="45"/>
        <v>2.4305619281317035</v>
      </c>
      <c r="BQ19" s="99"/>
      <c r="BR19" s="2">
        <f t="shared" si="12"/>
        <v>0.55988807163431531</v>
      </c>
      <c r="BS19" s="2">
        <f>+Datos1[[#This Row],[RON acumulado 12 meses]]/Datos1[[#This Row],[PIB nominal (miles de millones de G.)]]*100</f>
        <v>2.6404063167132019</v>
      </c>
      <c r="BT19" s="56">
        <v>83.450154077000008</v>
      </c>
      <c r="BU19" s="56">
        <f>SUMIFS($BT$3:$BT19,$D$3:$D19,D19)</f>
        <v>281.24124929100003</v>
      </c>
      <c r="BV19" s="56">
        <f t="shared" si="32"/>
        <v>1126.1962944970001</v>
      </c>
      <c r="BW19" s="100">
        <f t="shared" si="46"/>
        <v>-3.7607934979607238E-2</v>
      </c>
      <c r="BX19" s="100">
        <f t="shared" si="47"/>
        <v>4.2701666799898064E-2</v>
      </c>
      <c r="BY19" s="99"/>
      <c r="BZ19" s="56">
        <f t="shared" si="13"/>
        <v>12.001822789039171</v>
      </c>
      <c r="CA19" s="56">
        <f>Datos1[[#This Row],[Adquisición Neta de Activos no Financieros]]/Datos1[[#This Row],[PIB nominal (miles de millones de G.)]]*100</f>
        <v>0.14512567576155661</v>
      </c>
      <c r="CB19" s="56">
        <f>+Datos1[[#This Row],[ANANF acumulado por año]]/Datos1[[#This Row],[PIB nominal (miles de millones de G.)]]*100</f>
        <v>0.48909827437490661</v>
      </c>
      <c r="CC19" s="56">
        <f>+Datos1[[#This Row],[ANANF acumulado 12 meses]]/Datos1[[#This Row],[PIB nominal (miles de millones de G.)]]*100</f>
        <v>1.9585344099931918</v>
      </c>
      <c r="CD19" s="4">
        <v>48.666283376999999</v>
      </c>
      <c r="CE19" s="4">
        <f t="shared" si="14"/>
        <v>6.999197489233854</v>
      </c>
      <c r="CF19" s="4">
        <f t="shared" si="15"/>
        <v>34.783870700000008</v>
      </c>
      <c r="CG19" s="4">
        <f t="shared" si="16"/>
        <v>5.0026252998053149</v>
      </c>
      <c r="CH19" s="56">
        <f t="shared" si="17"/>
        <v>238.49663858100016</v>
      </c>
      <c r="CI19" s="56">
        <f>SUMIFS($CH$3:$CH19,$D$3:$D19,D19)</f>
        <v>619.17859084900044</v>
      </c>
      <c r="CJ19" s="56">
        <f t="shared" si="25"/>
        <v>392.08992742300052</v>
      </c>
      <c r="CK19" s="56">
        <f>Datos1[[#This Row],[Resultado Fiscal (miles de millones de G.)]]*1000/$F$207</f>
        <v>34.30064837734794</v>
      </c>
      <c r="CL19" s="56">
        <f t="shared" si="33"/>
        <v>56.390474988889949</v>
      </c>
      <c r="CM19" s="100">
        <f t="shared" si="48"/>
        <v>-10.242730544129484</v>
      </c>
      <c r="CN19" s="100">
        <f t="shared" si="49"/>
        <v>-86.362395179758963</v>
      </c>
      <c r="CO19" s="99"/>
      <c r="CP19" s="4">
        <f t="shared" si="18"/>
        <v>0.41476239587275865</v>
      </c>
      <c r="CQ19" s="4">
        <f t="shared" si="26"/>
        <v>0.6818719067200103</v>
      </c>
      <c r="CR19" s="73">
        <v>236.95899753500001</v>
      </c>
      <c r="CS19" s="113">
        <f>SUM(Datos1[[#This Row],[FFPP]:[MTESS]])</f>
        <v>0</v>
      </c>
      <c r="CT19" s="113"/>
      <c r="CU19" s="113"/>
      <c r="CV19" s="113"/>
      <c r="CW19" s="113"/>
      <c r="CX19" s="113"/>
      <c r="CY19" s="113"/>
      <c r="CZ19" s="113"/>
    </row>
    <row r="20" spans="1:104">
      <c r="A20">
        <v>18</v>
      </c>
      <c r="B20" s="3">
        <v>38139</v>
      </c>
      <c r="C20" s="14" t="str">
        <f t="shared" si="0"/>
        <v>Junio</v>
      </c>
      <c r="D20" s="14">
        <f t="shared" si="19"/>
        <v>2004</v>
      </c>
      <c r="E20" s="15">
        <f t="shared" si="1"/>
        <v>57501.991731711008</v>
      </c>
      <c r="F20" s="15">
        <f t="shared" si="2"/>
        <v>5975.6848701298695</v>
      </c>
      <c r="G20" s="56">
        <v>594.75880984600008</v>
      </c>
      <c r="H20" s="4">
        <f t="shared" si="20"/>
        <v>1.03432731968831</v>
      </c>
      <c r="I20" s="4">
        <f>SUMIFS($G$3:$G20,$D$3:$D20,D20)</f>
        <v>3462.0871127609998</v>
      </c>
      <c r="J20" s="2">
        <f t="shared" si="27"/>
        <v>6959.7131778720004</v>
      </c>
      <c r="K20" s="95">
        <f t="shared" si="34"/>
        <v>0.34850991532277131</v>
      </c>
      <c r="L20" s="95">
        <f t="shared" si="35"/>
        <v>0.48656737991143029</v>
      </c>
      <c r="M20" s="94"/>
      <c r="N20" s="4">
        <v>402.59554470000006</v>
      </c>
      <c r="O20" s="4">
        <f t="shared" si="3"/>
        <v>0.7001419126113122</v>
      </c>
      <c r="P20" s="4">
        <f>SUMIFS($N$3:$N20,$D$3:$D20,D20)</f>
        <v>2287.6730185410001</v>
      </c>
      <c r="Q20" s="4">
        <f t="shared" si="23"/>
        <v>4393.262005704999</v>
      </c>
      <c r="R20" s="97">
        <f t="shared" si="36"/>
        <v>0.63360202948551558</v>
      </c>
      <c r="S20" s="97">
        <f t="shared" si="37"/>
        <v>0.4569014518472716</v>
      </c>
      <c r="T20" s="96"/>
      <c r="U20" s="4">
        <v>151.80896842299998</v>
      </c>
      <c r="V20" s="4">
        <f t="shared" si="28"/>
        <v>1863.192789815</v>
      </c>
      <c r="W20" s="97"/>
      <c r="X20" s="97">
        <f t="shared" si="38"/>
        <v>0.3816765000843938</v>
      </c>
      <c r="Y20" s="4">
        <v>253.31149006799996</v>
      </c>
      <c r="Z20" s="4">
        <f t="shared" si="29"/>
        <v>2557.2016302959996</v>
      </c>
      <c r="AA20" s="97"/>
      <c r="AB20" s="97">
        <f t="shared" si="39"/>
        <v>0.69651570892406345</v>
      </c>
      <c r="AC20" s="4">
        <v>34.959325342</v>
      </c>
      <c r="AD20" s="4">
        <f t="shared" si="4"/>
        <v>6.0796720755536444E-2</v>
      </c>
      <c r="AE20" s="4">
        <v>26.322403335000001</v>
      </c>
      <c r="AF20" s="4">
        <f t="shared" si="5"/>
        <v>4.5776507112681122E-2</v>
      </c>
      <c r="AG20" s="4">
        <v>130.88153646900003</v>
      </c>
      <c r="AH20" s="4">
        <f t="shared" si="6"/>
        <v>21.902349155529613</v>
      </c>
      <c r="AI20" s="4">
        <v>98.855556148999995</v>
      </c>
      <c r="AJ20" s="4">
        <f t="shared" si="7"/>
        <v>14.2174317080046</v>
      </c>
      <c r="AK20" s="101">
        <f>SUMIFS($AJ$3:$AJ20,$D$3:$D20,D20)</f>
        <v>92.129535364778491</v>
      </c>
      <c r="AL20" s="4">
        <v>0</v>
      </c>
      <c r="AM20" s="4">
        <f t="shared" si="8"/>
        <v>0</v>
      </c>
      <c r="AN20" s="101">
        <f>SUMIFS($AM$3:$AM20,$D$3:$D20,D20)</f>
        <v>8.2022571857155775</v>
      </c>
      <c r="AO20" s="4">
        <f t="shared" si="21"/>
        <v>32.025980320000031</v>
      </c>
      <c r="AP20" s="56">
        <v>379.68648498600004</v>
      </c>
      <c r="AQ20" s="4">
        <f t="shared" si="9"/>
        <v>0.66030144965676341</v>
      </c>
      <c r="AR20" s="4">
        <f>SUMIFS($AP$3:$AP20,$D$3:$D20,D20)</f>
        <v>2346.5949477609997</v>
      </c>
      <c r="AS20" s="4">
        <f t="shared" si="30"/>
        <v>5188.5705006389999</v>
      </c>
      <c r="AT20" s="97">
        <f t="shared" si="40"/>
        <v>-0.13288411850188364</v>
      </c>
      <c r="AU20" s="97">
        <f t="shared" si="41"/>
        <v>1.6810705505811985E-3</v>
      </c>
      <c r="AV20" s="96"/>
      <c r="AW20" s="4">
        <v>229.47921364699999</v>
      </c>
      <c r="AX20" s="4">
        <f>SUMIFS($AW$3:$AW20,$D$3:$D20,D20)</f>
        <v>1346.0509520459998</v>
      </c>
      <c r="AY20" s="4">
        <f t="shared" si="31"/>
        <v>2807.7915856569994</v>
      </c>
      <c r="AZ20" s="97">
        <f t="shared" si="42"/>
        <v>7.0467469129736893E-2</v>
      </c>
      <c r="BA20" s="97">
        <f t="shared" si="43"/>
        <v>8.2142157603824595E-2</v>
      </c>
      <c r="BB20" s="96"/>
      <c r="BC20" s="4">
        <v>174.90131484200001</v>
      </c>
      <c r="BD20" s="4">
        <f t="shared" si="22"/>
        <v>54.57789880499999</v>
      </c>
      <c r="BE20" s="4">
        <v>34.779924782999998</v>
      </c>
      <c r="BF20" s="4">
        <v>57.240207045999995</v>
      </c>
      <c r="BG20" s="4">
        <f t="shared" si="10"/>
        <v>8.2323014136093242</v>
      </c>
      <c r="BH20" s="4">
        <f>Datos1[[#This Row],[Intereses]]/Datos1[[#This Row],[PIB nominal (miles de millones de G.)]]*100</f>
        <v>9.9544738055453053E-2</v>
      </c>
      <c r="BI20" s="4">
        <v>45.030755835999997</v>
      </c>
      <c r="BJ20" s="4">
        <v>1.9407417430000002</v>
      </c>
      <c r="BK20" s="4">
        <v>11.215641931</v>
      </c>
      <c r="BL20" s="56">
        <f t="shared" si="11"/>
        <v>215.07232486000004</v>
      </c>
      <c r="BM20" s="56">
        <f>SUMIFS($BL$3:$BL20,$D$3:$D20,D20)</f>
        <v>1115.4921650000003</v>
      </c>
      <c r="BN20" s="56">
        <f t="shared" si="24"/>
        <v>1771.1426772330003</v>
      </c>
      <c r="BO20" s="100">
        <f t="shared" si="44"/>
        <v>-6.6921337683695201</v>
      </c>
      <c r="BP20" s="100">
        <f t="shared" si="45"/>
        <v>3.9646726970518449</v>
      </c>
      <c r="BQ20" s="99"/>
      <c r="BR20" s="2">
        <f t="shared" si="12"/>
        <v>0.37402587003154653</v>
      </c>
      <c r="BS20" s="2">
        <f>+Datos1[[#This Row],[RON acumulado 12 meses]]/Datos1[[#This Row],[PIB nominal (miles de millones de G.)]]*100</f>
        <v>3.0801414418767976</v>
      </c>
      <c r="BT20" s="56">
        <v>68.933521579000001</v>
      </c>
      <c r="BU20" s="56">
        <f>SUMIFS($BT$3:$BT20,$D$3:$D20,D20)</f>
        <v>350.17477087000003</v>
      </c>
      <c r="BV20" s="56">
        <f t="shared" si="32"/>
        <v>1092.6118828460001</v>
      </c>
      <c r="BW20" s="100">
        <f t="shared" si="46"/>
        <v>-0.32759548103308944</v>
      </c>
      <c r="BX20" s="100">
        <f t="shared" si="47"/>
        <v>-5.9280768508177206E-2</v>
      </c>
      <c r="BY20" s="99"/>
      <c r="BZ20" s="56">
        <f t="shared" si="13"/>
        <v>9.9140369405691526</v>
      </c>
      <c r="CA20" s="56">
        <f>Datos1[[#This Row],[Adquisición Neta de Activos no Financieros]]/Datos1[[#This Row],[PIB nominal (miles de millones de G.)]]*100</f>
        <v>0.11988023284589075</v>
      </c>
      <c r="CB20" s="56">
        <f>+Datos1[[#This Row],[ANANF acumulado por año]]/Datos1[[#This Row],[PIB nominal (miles de millones de G.)]]*100</f>
        <v>0.60897850722079738</v>
      </c>
      <c r="CC20" s="56">
        <f>+Datos1[[#This Row],[ANANF acumulado 12 meses]]/Datos1[[#This Row],[PIB nominal (miles de millones de G.)]]*100</f>
        <v>1.9001287606589983</v>
      </c>
      <c r="CD20" s="4">
        <v>40.807325418000005</v>
      </c>
      <c r="CE20" s="4">
        <f t="shared" si="14"/>
        <v>5.8689201185845974</v>
      </c>
      <c r="CF20" s="4">
        <f t="shared" si="15"/>
        <v>28.126196160999996</v>
      </c>
      <c r="CG20" s="4">
        <f t="shared" si="16"/>
        <v>4.0451168219845552</v>
      </c>
      <c r="CH20" s="56">
        <f t="shared" si="17"/>
        <v>146.13880328100004</v>
      </c>
      <c r="CI20" s="56">
        <f>SUMIFS($CH$3:$CH20,$D$3:$D20,D20)</f>
        <v>765.31739413000048</v>
      </c>
      <c r="CJ20" s="56">
        <f t="shared" si="25"/>
        <v>678.53079438700058</v>
      </c>
      <c r="CK20" s="56">
        <f>Datos1[[#This Row],[Resultado Fiscal (miles de millones de G.)]]*1000/$F$207</f>
        <v>21.017720566009423</v>
      </c>
      <c r="CL20" s="56">
        <f t="shared" si="33"/>
        <v>97.586474719083128</v>
      </c>
      <c r="CM20" s="100">
        <f t="shared" si="48"/>
        <v>-2.0416012383908173</v>
      </c>
      <c r="CN20" s="100">
        <f t="shared" si="49"/>
        <v>-6.1866376686496256</v>
      </c>
      <c r="CO20" s="99"/>
      <c r="CP20" s="4">
        <f t="shared" si="18"/>
        <v>0.2541456371856558</v>
      </c>
      <c r="CQ20" s="4">
        <f t="shared" si="26"/>
        <v>1.1800126812177998</v>
      </c>
      <c r="CR20" s="73">
        <v>237.88582346800001</v>
      </c>
      <c r="CS20" s="113">
        <f>SUM(Datos1[[#This Row],[FFPP]:[MTESS]])</f>
        <v>0</v>
      </c>
      <c r="CT20" s="113"/>
      <c r="CU20" s="113"/>
      <c r="CV20" s="113"/>
      <c r="CW20" s="113"/>
      <c r="CX20" s="113"/>
      <c r="CY20" s="113"/>
      <c r="CZ20" s="113"/>
    </row>
    <row r="21" spans="1:104">
      <c r="A21">
        <v>19</v>
      </c>
      <c r="B21" s="3">
        <v>38169</v>
      </c>
      <c r="C21" s="14" t="str">
        <f t="shared" si="0"/>
        <v>Julio</v>
      </c>
      <c r="D21" s="14">
        <f t="shared" si="19"/>
        <v>2004</v>
      </c>
      <c r="E21" s="15">
        <f t="shared" si="1"/>
        <v>57501.991731711008</v>
      </c>
      <c r="F21" s="15">
        <f t="shared" si="2"/>
        <v>5975.6848701298695</v>
      </c>
      <c r="G21" s="56">
        <v>734.00302585899988</v>
      </c>
      <c r="H21" s="4">
        <f t="shared" si="20"/>
        <v>1.2764827856462131</v>
      </c>
      <c r="I21" s="4">
        <f>SUMIFS($G$3:$G21,$D$3:$D21,D21)</f>
        <v>4196.0901386199994</v>
      </c>
      <c r="J21" s="2">
        <f t="shared" si="27"/>
        <v>7217.0704011309999</v>
      </c>
      <c r="K21" s="95">
        <f t="shared" si="34"/>
        <v>0.37848421854532543</v>
      </c>
      <c r="L21" s="95">
        <f t="shared" si="35"/>
        <v>0.53993389190709706</v>
      </c>
      <c r="M21" s="94"/>
      <c r="N21" s="4">
        <v>445.95218229699992</v>
      </c>
      <c r="O21" s="4">
        <f t="shared" si="3"/>
        <v>0.77554214883145978</v>
      </c>
      <c r="P21" s="4">
        <f>SUMIFS($N$3:$N21,$D$3:$D21,D21)</f>
        <v>2733.6252008380002</v>
      </c>
      <c r="Q21" s="4">
        <f t="shared" si="23"/>
        <v>4514.6390744309992</v>
      </c>
      <c r="R21" s="97">
        <f t="shared" si="36"/>
        <v>0.37395679351568356</v>
      </c>
      <c r="S21" s="97">
        <f t="shared" si="37"/>
        <v>0.44269326450179669</v>
      </c>
      <c r="T21" s="96"/>
      <c r="U21" s="4">
        <v>198.26661667599998</v>
      </c>
      <c r="V21" s="4">
        <f t="shared" si="28"/>
        <v>1910.2044849019999</v>
      </c>
      <c r="W21" s="97"/>
      <c r="X21" s="97">
        <f t="shared" si="38"/>
        <v>0.31081101092857866</v>
      </c>
      <c r="Y21" s="4">
        <v>259.88333434100002</v>
      </c>
      <c r="Z21" s="4">
        <f t="shared" si="29"/>
        <v>2637.3369777280004</v>
      </c>
      <c r="AA21" s="97"/>
      <c r="AB21" s="97">
        <f t="shared" si="39"/>
        <v>0.44582055582391411</v>
      </c>
      <c r="AC21" s="4">
        <v>31.303727366</v>
      </c>
      <c r="AD21" s="4">
        <f t="shared" si="4"/>
        <v>5.4439379268904048E-2</v>
      </c>
      <c r="AE21" s="4">
        <v>15.471409666000003</v>
      </c>
      <c r="AF21" s="4">
        <f t="shared" si="5"/>
        <v>2.6905867431836941E-2</v>
      </c>
      <c r="AG21" s="4">
        <v>241.27570653000001</v>
      </c>
      <c r="AH21" s="4">
        <f t="shared" si="6"/>
        <v>40.376243355141376</v>
      </c>
      <c r="AI21" s="4">
        <v>143.69595188900001</v>
      </c>
      <c r="AJ21" s="4">
        <f t="shared" si="7"/>
        <v>20.666389045642315</v>
      </c>
      <c r="AK21" s="101">
        <f>SUMIFS($AJ$3:$AJ21,$D$3:$D21,D21)</f>
        <v>112.79592441042081</v>
      </c>
      <c r="AL21" s="4">
        <v>58.086289878000002</v>
      </c>
      <c r="AM21" s="4">
        <f t="shared" si="8"/>
        <v>8.3539852658062053</v>
      </c>
      <c r="AN21" s="101">
        <f>SUMIFS($AM$3:$AM21,$D$3:$D21,D21)</f>
        <v>16.556242451521783</v>
      </c>
      <c r="AO21" s="4">
        <f t="shared" si="21"/>
        <v>39.493464762999992</v>
      </c>
      <c r="AP21" s="56">
        <v>525.65742484999998</v>
      </c>
      <c r="AQ21" s="4">
        <f t="shared" si="9"/>
        <v>0.91415516057700685</v>
      </c>
      <c r="AR21" s="4">
        <f>SUMIFS($AP$3:$AP21,$D$3:$D21,D21)</f>
        <v>2872.2523726109998</v>
      </c>
      <c r="AS21" s="4">
        <f t="shared" si="30"/>
        <v>5260.9961624999996</v>
      </c>
      <c r="AT21" s="97">
        <f t="shared" si="40"/>
        <v>0.1597982925630872</v>
      </c>
      <c r="AU21" s="97">
        <f t="shared" si="41"/>
        <v>2.7312903250959364E-2</v>
      </c>
      <c r="AV21" s="96"/>
      <c r="AW21" s="4">
        <v>227.64042219799998</v>
      </c>
      <c r="AX21" s="4">
        <f>SUMIFS($AW$3:$AW21,$D$3:$D21,D21)</f>
        <v>1573.6913742439997</v>
      </c>
      <c r="AY21" s="4">
        <f t="shared" si="31"/>
        <v>2825.2235700079996</v>
      </c>
      <c r="AZ21" s="97">
        <f t="shared" si="42"/>
        <v>8.2927139031820696E-2</v>
      </c>
      <c r="BA21" s="97">
        <f t="shared" si="43"/>
        <v>8.2255637732373321E-2</v>
      </c>
      <c r="BB21" s="96"/>
      <c r="BC21" s="4">
        <v>175.502470198</v>
      </c>
      <c r="BD21" s="4">
        <f t="shared" si="22"/>
        <v>52.137951999999984</v>
      </c>
      <c r="BE21" s="4">
        <v>30.691938901</v>
      </c>
      <c r="BF21" s="4">
        <v>49.769885892999994</v>
      </c>
      <c r="BG21" s="4">
        <f t="shared" si="10"/>
        <v>7.1579178891308768</v>
      </c>
      <c r="BH21" s="4">
        <f>Datos1[[#This Row],[Intereses]]/Datos1[[#This Row],[PIB nominal (miles de millones de G.)]]*100</f>
        <v>8.6553325187783123E-2</v>
      </c>
      <c r="BI21" s="4">
        <v>56.519238518000002</v>
      </c>
      <c r="BJ21" s="4">
        <v>154.96850677500001</v>
      </c>
      <c r="BK21" s="4">
        <v>6.0674325649999998</v>
      </c>
      <c r="BL21" s="56">
        <f t="shared" si="11"/>
        <v>208.34560100899989</v>
      </c>
      <c r="BM21" s="56">
        <f>SUMIFS($BL$3:$BL21,$D$3:$D21,D21)</f>
        <v>1323.8377660090002</v>
      </c>
      <c r="BN21" s="56">
        <f t="shared" si="24"/>
        <v>1956.0742386310001</v>
      </c>
      <c r="BO21" s="100">
        <f t="shared" si="44"/>
        <v>7.8983193191113497</v>
      </c>
      <c r="BP21" s="100">
        <f t="shared" si="45"/>
        <v>4.3359043149531633</v>
      </c>
      <c r="BQ21" s="99"/>
      <c r="BR21" s="2">
        <f t="shared" si="12"/>
        <v>0.36232762506920635</v>
      </c>
      <c r="BS21" s="2">
        <f>+Datos1[[#This Row],[RON acumulado 12 meses]]/Datos1[[#This Row],[PIB nominal (miles de millones de G.)]]*100</f>
        <v>3.4017504085032777</v>
      </c>
      <c r="BT21" s="56">
        <v>90.933246396999991</v>
      </c>
      <c r="BU21" s="56">
        <f>SUMIFS($BT$3:$BT21,$D$3:$D21,D21)</f>
        <v>441.10801726700004</v>
      </c>
      <c r="BV21" s="56">
        <f t="shared" si="32"/>
        <v>1100.982712018</v>
      </c>
      <c r="BW21" s="100">
        <f t="shared" si="46"/>
        <v>0.10138788874346694</v>
      </c>
      <c r="BX21" s="100">
        <f t="shared" si="47"/>
        <v>-3.01139315757043E-2</v>
      </c>
      <c r="BY21" s="99"/>
      <c r="BZ21" s="56">
        <f t="shared" si="13"/>
        <v>13.078043066065749</v>
      </c>
      <c r="CA21" s="56">
        <f>Datos1[[#This Row],[Adquisición Neta de Activos no Financieros]]/Datos1[[#This Row],[PIB nominal (miles de millones de G.)]]*100</f>
        <v>0.15813929858511738</v>
      </c>
      <c r="CB21" s="56">
        <f>+Datos1[[#This Row],[ANANF acumulado por año]]/Datos1[[#This Row],[PIB nominal (miles de millones de G.)]]*100</f>
        <v>0.76711780580591471</v>
      </c>
      <c r="CC21" s="56">
        <f>+Datos1[[#This Row],[ANANF acumulado 12 meses]]/Datos1[[#This Row],[PIB nominal (miles de millones de G.)]]*100</f>
        <v>1.9146862201832804</v>
      </c>
      <c r="CD21" s="4">
        <v>56.578921255000004</v>
      </c>
      <c r="CE21" s="4">
        <f t="shared" si="14"/>
        <v>8.1371951197471439</v>
      </c>
      <c r="CF21" s="4">
        <f t="shared" si="15"/>
        <v>34.354325141999986</v>
      </c>
      <c r="CG21" s="4">
        <f t="shared" si="16"/>
        <v>4.9408479463186064</v>
      </c>
      <c r="CH21" s="56">
        <f t="shared" si="17"/>
        <v>117.4123546119999</v>
      </c>
      <c r="CI21" s="56">
        <f>SUMIFS($CH$3:$CH21,$D$3:$D21,D21)</f>
        <v>882.72974874200042</v>
      </c>
      <c r="CJ21" s="56">
        <f t="shared" si="25"/>
        <v>855.0915266130005</v>
      </c>
      <c r="CK21" s="56">
        <f>Datos1[[#This Row],[Resultado Fiscal (miles de millones de G.)]]*1000/$F$207</f>
        <v>16.88627527274312</v>
      </c>
      <c r="CL21" s="56">
        <f t="shared" si="33"/>
        <v>122.97948499110953</v>
      </c>
      <c r="CM21" s="100">
        <f t="shared" si="48"/>
        <v>-2.9850477620574551</v>
      </c>
      <c r="CN21" s="100">
        <f t="shared" si="49"/>
        <v>-5.2705021503893175</v>
      </c>
      <c r="CO21" s="99"/>
      <c r="CP21" s="4">
        <f t="shared" si="18"/>
        <v>0.20418832648408891</v>
      </c>
      <c r="CQ21" s="4">
        <f t="shared" si="26"/>
        <v>1.4870641883199978</v>
      </c>
      <c r="CR21" s="73">
        <v>238.05007592199999</v>
      </c>
      <c r="CS21" s="113">
        <f>SUM(Datos1[[#This Row],[FFPP]:[MTESS]])</f>
        <v>0</v>
      </c>
      <c r="CT21" s="113"/>
      <c r="CU21" s="113"/>
      <c r="CV21" s="113"/>
      <c r="CW21" s="113"/>
      <c r="CX21" s="113"/>
      <c r="CY21" s="113"/>
      <c r="CZ21" s="113"/>
    </row>
    <row r="22" spans="1:104">
      <c r="A22">
        <v>20</v>
      </c>
      <c r="B22" s="3">
        <v>38200</v>
      </c>
      <c r="C22" s="14" t="str">
        <f t="shared" si="0"/>
        <v>Agosto</v>
      </c>
      <c r="D22" s="14">
        <f t="shared" si="19"/>
        <v>2004</v>
      </c>
      <c r="E22" s="15">
        <f t="shared" si="1"/>
        <v>57501.991731711008</v>
      </c>
      <c r="F22" s="15">
        <f t="shared" si="2"/>
        <v>5975.6848701298695</v>
      </c>
      <c r="G22" s="56">
        <v>655.30200582799989</v>
      </c>
      <c r="H22" s="4">
        <f t="shared" si="20"/>
        <v>1.1396161873582826</v>
      </c>
      <c r="I22" s="4">
        <f>SUMIFS($G$3:$G22,$D$3:$D22,D22)</f>
        <v>4851.3921444479993</v>
      </c>
      <c r="J22" s="2">
        <f t="shared" si="27"/>
        <v>7360.5106000519991</v>
      </c>
      <c r="K22" s="95">
        <f t="shared" si="34"/>
        <v>0.36434093004283796</v>
      </c>
      <c r="L22" s="95">
        <f t="shared" si="35"/>
        <v>0.280232275558433</v>
      </c>
      <c r="M22" s="94"/>
      <c r="N22" s="4">
        <v>409.029390831</v>
      </c>
      <c r="O22" s="4">
        <f t="shared" si="3"/>
        <v>0.71133082265988679</v>
      </c>
      <c r="P22" s="4">
        <f>SUMIFS($N$3:$N22,$D$3:$D22,D22)</f>
        <v>3142.6545916690002</v>
      </c>
      <c r="Q22" s="4">
        <f t="shared" si="23"/>
        <v>4633.6996756160006</v>
      </c>
      <c r="R22" s="97">
        <f t="shared" si="36"/>
        <v>0.4105979865293492</v>
      </c>
      <c r="S22" s="97">
        <f t="shared" si="37"/>
        <v>0.43843350053270647</v>
      </c>
      <c r="T22" s="96"/>
      <c r="U22" s="4">
        <v>120.113096055</v>
      </c>
      <c r="V22" s="4">
        <f t="shared" si="28"/>
        <v>1920.0404942749997</v>
      </c>
      <c r="W22" s="97"/>
      <c r="X22" s="97">
        <f t="shared" si="38"/>
        <v>8.9193591061791144E-2</v>
      </c>
      <c r="Y22" s="4">
        <v>271.68254355899995</v>
      </c>
      <c r="Z22" s="4">
        <f t="shared" si="29"/>
        <v>2732.5688450880002</v>
      </c>
      <c r="AA22" s="97"/>
      <c r="AB22" s="97">
        <f t="shared" si="39"/>
        <v>0.53970814627311503</v>
      </c>
      <c r="AC22" s="4">
        <v>35.880043791999995</v>
      </c>
      <c r="AD22" s="4">
        <f t="shared" si="4"/>
        <v>6.2397914770338271E-2</v>
      </c>
      <c r="AE22" s="4">
        <v>15.355381917999999</v>
      </c>
      <c r="AF22" s="4">
        <f t="shared" si="5"/>
        <v>2.6704087033444207E-2</v>
      </c>
      <c r="AG22" s="4">
        <v>195.03718928699996</v>
      </c>
      <c r="AH22" s="4">
        <f t="shared" si="6"/>
        <v>32.638466305664011</v>
      </c>
      <c r="AI22" s="4">
        <v>124.14487877900001</v>
      </c>
      <c r="AJ22" s="4">
        <f t="shared" si="7"/>
        <v>17.854548643463342</v>
      </c>
      <c r="AK22" s="101">
        <f>SUMIFS($AJ$3:$AJ22,$D$3:$D22,D22)</f>
        <v>130.65047305388416</v>
      </c>
      <c r="AL22" s="4">
        <v>29.999723636999999</v>
      </c>
      <c r="AM22" s="4">
        <f t="shared" si="8"/>
        <v>4.314568029187841</v>
      </c>
      <c r="AN22" s="101">
        <f>SUMIFS($AM$3:$AM22,$D$3:$D22,D22)</f>
        <v>20.870810480709622</v>
      </c>
      <c r="AO22" s="4">
        <f t="shared" si="21"/>
        <v>40.892586870999949</v>
      </c>
      <c r="AP22" s="56">
        <v>486.15572542599995</v>
      </c>
      <c r="AQ22" s="4">
        <f t="shared" si="9"/>
        <v>0.8454589324388504</v>
      </c>
      <c r="AR22" s="4">
        <f>SUMIFS($AP$3:$AP22,$D$3:$D22,D22)</f>
        <v>3358.4080980369999</v>
      </c>
      <c r="AS22" s="4">
        <f t="shared" si="30"/>
        <v>5397.7660923200001</v>
      </c>
      <c r="AT22" s="97">
        <f t="shared" si="40"/>
        <v>0.39145818616574379</v>
      </c>
      <c r="AU22" s="97">
        <f t="shared" si="41"/>
        <v>6.7763171124262778E-2</v>
      </c>
      <c r="AV22" s="96"/>
      <c r="AW22" s="4">
        <v>225.09277792399999</v>
      </c>
      <c r="AX22" s="4">
        <f>SUMIFS($AW$3:$AW22,$D$3:$D22,D22)</f>
        <v>1798.7841521679998</v>
      </c>
      <c r="AY22" s="4">
        <f t="shared" si="31"/>
        <v>2837.7200819339996</v>
      </c>
      <c r="AZ22" s="97">
        <f t="shared" si="42"/>
        <v>5.8780486417939315E-2</v>
      </c>
      <c r="BA22" s="97">
        <f t="shared" si="43"/>
        <v>7.926122573179728E-2</v>
      </c>
      <c r="BB22" s="96"/>
      <c r="BC22" s="4">
        <v>175.06364244900001</v>
      </c>
      <c r="BD22" s="4">
        <f t="shared" si="22"/>
        <v>50.029135474999975</v>
      </c>
      <c r="BE22" s="4">
        <v>43.371960627</v>
      </c>
      <c r="BF22" s="4">
        <v>53.921032193000002</v>
      </c>
      <c r="BG22" s="4">
        <f t="shared" si="10"/>
        <v>7.754936825944406</v>
      </c>
      <c r="BH22" s="4">
        <f>Datos1[[#This Row],[Intereses]]/Datos1[[#This Row],[PIB nominal (miles de millones de G.)]]*100</f>
        <v>9.377245999509233E-2</v>
      </c>
      <c r="BI22" s="4">
        <v>75.959006198000012</v>
      </c>
      <c r="BJ22" s="4">
        <v>77.724489470000009</v>
      </c>
      <c r="BK22" s="4">
        <v>10.086459014000001</v>
      </c>
      <c r="BL22" s="56">
        <f t="shared" si="11"/>
        <v>169.14628040199995</v>
      </c>
      <c r="BM22" s="56">
        <f>SUMIFS($BL$3:$BL22,$D$3:$D22,D22)</f>
        <v>1492.9840464110002</v>
      </c>
      <c r="BN22" s="56">
        <f t="shared" si="24"/>
        <v>1962.7445077320003</v>
      </c>
      <c r="BO22" s="100">
        <f t="shared" si="44"/>
        <v>4.1053870338081166E-2</v>
      </c>
      <c r="BP22" s="100">
        <f t="shared" si="45"/>
        <v>2.6363159798379985</v>
      </c>
      <c r="BQ22" s="99"/>
      <c r="BR22" s="2">
        <f t="shared" si="12"/>
        <v>0.29415725491943212</v>
      </c>
      <c r="BS22" s="2">
        <f>+Datos1[[#This Row],[RON acumulado 12 meses]]/Datos1[[#This Row],[PIB nominal (miles de millones de G.)]]*100</f>
        <v>3.4133504746925012</v>
      </c>
      <c r="BT22" s="56">
        <v>93.169307935999996</v>
      </c>
      <c r="BU22" s="56">
        <f>SUMIFS($BT$3:$BT22,$D$3:$D22,D22)</f>
        <v>534.27732520300003</v>
      </c>
      <c r="BV22" s="56">
        <f t="shared" si="32"/>
        <v>1117.921577032</v>
      </c>
      <c r="BW22" s="100">
        <f t="shared" si="46"/>
        <v>0.22220604216260531</v>
      </c>
      <c r="BX22" s="100">
        <f t="shared" si="47"/>
        <v>6.1068170739164707E-3</v>
      </c>
      <c r="BY22" s="99"/>
      <c r="BZ22" s="56">
        <f t="shared" si="13"/>
        <v>13.399634016175941</v>
      </c>
      <c r="CA22" s="56">
        <f>Datos1[[#This Row],[Adquisición Neta de Activos no Financieros]]/Datos1[[#This Row],[PIB nominal (miles de millones de G.)]]*100</f>
        <v>0.16202796656279872</v>
      </c>
      <c r="CB22" s="56">
        <f>+Datos1[[#This Row],[ANANF acumulado por año]]/Datos1[[#This Row],[PIB nominal (miles de millones de G.)]]*100</f>
        <v>0.92914577236871354</v>
      </c>
      <c r="CC22" s="56">
        <f>+Datos1[[#This Row],[ANANF acumulado 12 meses]]/Datos1[[#This Row],[PIB nominal (miles de millones de G.)]]*100</f>
        <v>1.9441440954739875</v>
      </c>
      <c r="CD22" s="4">
        <v>51.909419130999993</v>
      </c>
      <c r="CE22" s="4">
        <f t="shared" si="14"/>
        <v>7.4656261139718003</v>
      </c>
      <c r="CF22" s="4">
        <f t="shared" si="15"/>
        <v>41.259888805000003</v>
      </c>
      <c r="CG22" s="4">
        <f t="shared" si="16"/>
        <v>5.9340079022041401</v>
      </c>
      <c r="CH22" s="56">
        <f t="shared" si="17"/>
        <v>75.97697246599995</v>
      </c>
      <c r="CI22" s="56">
        <f>SUMIFS($CH$3:$CH22,$D$3:$D22,D22)</f>
        <v>958.70672120800032</v>
      </c>
      <c r="CJ22" s="56">
        <f t="shared" si="25"/>
        <v>844.82293070000037</v>
      </c>
      <c r="CK22" s="56">
        <f>Datos1[[#This Row],[Resultado Fiscal (miles de millones de G.)]]*1000/$F$207</f>
        <v>10.927027872749742</v>
      </c>
      <c r="CL22" s="56">
        <f t="shared" si="33"/>
        <v>121.50265286535502</v>
      </c>
      <c r="CM22" s="100">
        <f t="shared" si="48"/>
        <v>-0.11906230205215318</v>
      </c>
      <c r="CN22" s="100">
        <f t="shared" si="49"/>
        <v>-8.9588198716756704</v>
      </c>
      <c r="CO22" s="99"/>
      <c r="CP22" s="4">
        <f t="shared" si="18"/>
        <v>0.13212928835663343</v>
      </c>
      <c r="CQ22" s="4">
        <f t="shared" si="26"/>
        <v>1.4692063792185135</v>
      </c>
      <c r="CR22" s="73">
        <v>235.54750060800001</v>
      </c>
      <c r="CS22" s="113">
        <f>SUM(Datos1[[#This Row],[FFPP]:[MTESS]])</f>
        <v>0</v>
      </c>
      <c r="CT22" s="113"/>
      <c r="CU22" s="113"/>
      <c r="CV22" s="113"/>
      <c r="CW22" s="113"/>
      <c r="CX22" s="113"/>
      <c r="CY22" s="113"/>
      <c r="CZ22" s="113"/>
    </row>
    <row r="23" spans="1:104">
      <c r="A23">
        <v>21</v>
      </c>
      <c r="B23" s="3">
        <v>38231</v>
      </c>
      <c r="C23" s="14" t="str">
        <f t="shared" si="0"/>
        <v>Septiembre</v>
      </c>
      <c r="D23" s="14">
        <f t="shared" si="19"/>
        <v>2004</v>
      </c>
      <c r="E23" s="15">
        <f t="shared" si="1"/>
        <v>57501.991731711008</v>
      </c>
      <c r="F23" s="15">
        <f t="shared" si="2"/>
        <v>5975.6848701298695</v>
      </c>
      <c r="G23" s="56">
        <v>676.92107769600011</v>
      </c>
      <c r="H23" s="4">
        <f t="shared" si="20"/>
        <v>1.1772132708973522</v>
      </c>
      <c r="I23" s="4">
        <f>SUMIFS($G$3:$G23,$D$3:$D23,D23)</f>
        <v>5528.3132221439992</v>
      </c>
      <c r="J23" s="2">
        <f t="shared" si="27"/>
        <v>7503.362800380999</v>
      </c>
      <c r="K23" s="95">
        <f t="shared" si="34"/>
        <v>0.35169252586848399</v>
      </c>
      <c r="L23" s="95">
        <f t="shared" si="35"/>
        <v>0.26747898329757058</v>
      </c>
      <c r="M23" s="94"/>
      <c r="N23" s="4">
        <v>469.32177894300003</v>
      </c>
      <c r="O23" s="4">
        <f t="shared" si="3"/>
        <v>0.81618351783835696</v>
      </c>
      <c r="P23" s="4">
        <f>SUMIFS($N$3:$N23,$D$3:$D23,D23)</f>
        <v>3611.9763706120002</v>
      </c>
      <c r="Q23" s="4">
        <f t="shared" si="23"/>
        <v>4736.7345993880008</v>
      </c>
      <c r="R23" s="97">
        <f t="shared" si="36"/>
        <v>0.28129571759788785</v>
      </c>
      <c r="S23" s="97">
        <f t="shared" si="37"/>
        <v>0.41587133180210056</v>
      </c>
      <c r="T23" s="96"/>
      <c r="U23" s="4">
        <v>208.05029225299995</v>
      </c>
      <c r="V23" s="4">
        <f t="shared" si="28"/>
        <v>1961.7294127469997</v>
      </c>
      <c r="W23" s="97"/>
      <c r="X23" s="97">
        <f t="shared" si="38"/>
        <v>0.25059253554181216</v>
      </c>
      <c r="Y23" s="4">
        <v>262.419546341</v>
      </c>
      <c r="Z23" s="4">
        <f t="shared" si="29"/>
        <v>2791.5962231530002</v>
      </c>
      <c r="AA23" s="97"/>
      <c r="AB23" s="97">
        <f t="shared" si="39"/>
        <v>0.29021460641936225</v>
      </c>
      <c r="AC23" s="4">
        <v>0</v>
      </c>
      <c r="AD23" s="4">
        <f t="shared" si="4"/>
        <v>0</v>
      </c>
      <c r="AE23" s="4">
        <v>17.639454999000002</v>
      </c>
      <c r="AF23" s="4">
        <f t="shared" si="5"/>
        <v>3.0676250452855623E-2</v>
      </c>
      <c r="AG23" s="4">
        <v>189.95984375400002</v>
      </c>
      <c r="AH23" s="4">
        <f t="shared" si="6"/>
        <v>31.788798754019911</v>
      </c>
      <c r="AI23" s="4">
        <v>124.324028372</v>
      </c>
      <c r="AJ23" s="4">
        <f t="shared" si="7"/>
        <v>17.8803139843629</v>
      </c>
      <c r="AK23" s="101">
        <f>SUMIFS($AJ$3:$AJ23,$D$3:$D23,D23)</f>
        <v>148.53078703824707</v>
      </c>
      <c r="AL23" s="4">
        <v>30.640205641000001</v>
      </c>
      <c r="AM23" s="4">
        <f t="shared" si="8"/>
        <v>4.4066823170114908</v>
      </c>
      <c r="AN23" s="101">
        <f>SUMIFS($AM$3:$AM23,$D$3:$D23,D23)</f>
        <v>25.277492797721113</v>
      </c>
      <c r="AO23" s="4">
        <f t="shared" si="21"/>
        <v>34.995609741000017</v>
      </c>
      <c r="AP23" s="56">
        <v>377.43835077399996</v>
      </c>
      <c r="AQ23" s="4">
        <f t="shared" si="9"/>
        <v>0.65639178645328822</v>
      </c>
      <c r="AR23" s="4">
        <f>SUMIFS($AP$3:$AP23,$D$3:$D23,D23)</f>
        <v>3735.8464488109998</v>
      </c>
      <c r="AS23" s="4">
        <f t="shared" si="30"/>
        <v>5411.5292381199997</v>
      </c>
      <c r="AT23" s="97">
        <f t="shared" si="40"/>
        <v>3.7844608628140985E-2</v>
      </c>
      <c r="AU23" s="97">
        <f t="shared" si="41"/>
        <v>6.4662345870371007E-2</v>
      </c>
      <c r="AV23" s="96"/>
      <c r="AW23" s="4">
        <v>225.17960829199995</v>
      </c>
      <c r="AX23" s="4">
        <f>SUMIFS($AW$3:$AW23,$D$3:$D23,D23)</f>
        <v>2023.9637604599998</v>
      </c>
      <c r="AY23" s="4">
        <f t="shared" si="31"/>
        <v>2851.5993459490001</v>
      </c>
      <c r="AZ23" s="97">
        <f t="shared" si="42"/>
        <v>6.5685004264854463E-2</v>
      </c>
      <c r="BA23" s="97">
        <f t="shared" si="43"/>
        <v>7.7733702406492133E-2</v>
      </c>
      <c r="BB23" s="96"/>
      <c r="BC23" s="4">
        <v>174.67392862700001</v>
      </c>
      <c r="BD23" s="4">
        <f t="shared" si="22"/>
        <v>50.505679664999946</v>
      </c>
      <c r="BE23" s="4">
        <v>38.576064043999999</v>
      </c>
      <c r="BF23" s="4">
        <v>27.566205033999999</v>
      </c>
      <c r="BG23" s="4">
        <f t="shared" si="10"/>
        <v>3.9645787529537078</v>
      </c>
      <c r="BH23" s="4">
        <f>Datos1[[#This Row],[Intereses]]/Datos1[[#This Row],[PIB nominal (miles de millones de G.)]]*100</f>
        <v>4.7939565576470076E-2</v>
      </c>
      <c r="BI23" s="4">
        <v>69.218971386000007</v>
      </c>
      <c r="BJ23" s="4">
        <v>9.8951361609999999</v>
      </c>
      <c r="BK23" s="4">
        <v>7.002365857</v>
      </c>
      <c r="BL23" s="56">
        <f t="shared" si="11"/>
        <v>299.48272692200015</v>
      </c>
      <c r="BM23" s="56">
        <f>SUMIFS($BL$3:$BL23,$D$3:$D23,D23)</f>
        <v>1792.4667733330004</v>
      </c>
      <c r="BN23" s="56">
        <f t="shared" si="24"/>
        <v>2091.8335622610002</v>
      </c>
      <c r="BO23" s="100">
        <f t="shared" si="44"/>
        <v>0.7575930063369134</v>
      </c>
      <c r="BP23" s="100">
        <f t="shared" si="45"/>
        <v>2.0853018295121726</v>
      </c>
      <c r="BQ23" s="99"/>
      <c r="BR23" s="2">
        <f t="shared" si="12"/>
        <v>0.52082148444406395</v>
      </c>
      <c r="BS23" s="2">
        <f>+Datos1[[#This Row],[RON acumulado 12 meses]]/Datos1[[#This Row],[PIB nominal (miles de millones de G.)]]*100</f>
        <v>3.6378454019835331</v>
      </c>
      <c r="BT23" s="56">
        <v>75.838940563999998</v>
      </c>
      <c r="BU23" s="56">
        <f>SUMIFS($BT$3:$BT23,$D$3:$D23,D23)</f>
        <v>610.11626576700007</v>
      </c>
      <c r="BV23" s="56">
        <f t="shared" si="32"/>
        <v>1101.280882732</v>
      </c>
      <c r="BW23" s="100">
        <f t="shared" si="46"/>
        <v>-0.17993901386474664</v>
      </c>
      <c r="BX23" s="100">
        <f t="shared" si="47"/>
        <v>-2.1487510689485845E-2</v>
      </c>
      <c r="BY23" s="99"/>
      <c r="BZ23" s="56">
        <f t="shared" si="13"/>
        <v>10.907176088827226</v>
      </c>
      <c r="CA23" s="56">
        <f>Datos1[[#This Row],[Adquisición Neta de Activos no Financieros]]/Datos1[[#This Row],[PIB nominal (miles de millones de G.)]]*100</f>
        <v>0.13188924118984316</v>
      </c>
      <c r="CB23" s="56">
        <f>+Datos1[[#This Row],[ANANF acumulado por año]]/Datos1[[#This Row],[PIB nominal (miles de millones de G.)]]*100</f>
        <v>1.0610350135585569</v>
      </c>
      <c r="CC23" s="56">
        <f>+Datos1[[#This Row],[ANANF acumulado 12 meses]]/Datos1[[#This Row],[PIB nominal (miles de millones de G.)]]*100</f>
        <v>1.9152047599851558</v>
      </c>
      <c r="CD23" s="4">
        <v>38.426143967000002</v>
      </c>
      <c r="CE23" s="4">
        <f t="shared" si="14"/>
        <v>5.5264579851165205</v>
      </c>
      <c r="CF23" s="4">
        <f t="shared" si="15"/>
        <v>37.412796596999996</v>
      </c>
      <c r="CG23" s="4">
        <f t="shared" si="16"/>
        <v>5.3807181037107048</v>
      </c>
      <c r="CH23" s="56">
        <f t="shared" si="17"/>
        <v>223.64378635800017</v>
      </c>
      <c r="CI23" s="56">
        <f>SUMIFS($CH$3:$CH23,$D$3:$D23,D23)</f>
        <v>1182.3505075660005</v>
      </c>
      <c r="CJ23" s="56">
        <f t="shared" si="25"/>
        <v>990.55267952900044</v>
      </c>
      <c r="CK23" s="56">
        <f>Datos1[[#This Row],[Resultado Fiscal (miles de millones de G.)]]*1000/$F$207</f>
        <v>32.16450732088267</v>
      </c>
      <c r="CL23" s="56">
        <f t="shared" si="33"/>
        <v>142.4615431140538</v>
      </c>
      <c r="CM23" s="100">
        <f t="shared" si="48"/>
        <v>1.8703914397294401</v>
      </c>
      <c r="CN23" s="100">
        <f t="shared" si="49"/>
        <v>-28.79100194439399</v>
      </c>
      <c r="CO23" s="99"/>
      <c r="CP23" s="4">
        <f t="shared" si="18"/>
        <v>0.38893224325422077</v>
      </c>
      <c r="CQ23" s="4">
        <f t="shared" si="26"/>
        <v>1.7226406419983773</v>
      </c>
      <c r="CR23" s="73">
        <v>234.867337607</v>
      </c>
      <c r="CS23" s="113">
        <f>SUM(Datos1[[#This Row],[FFPP]:[MTESS]])</f>
        <v>0</v>
      </c>
      <c r="CT23" s="113"/>
      <c r="CU23" s="113"/>
      <c r="CV23" s="113"/>
      <c r="CW23" s="113"/>
      <c r="CX23" s="113"/>
      <c r="CY23" s="113"/>
      <c r="CZ23" s="113"/>
    </row>
    <row r="24" spans="1:104">
      <c r="A24">
        <v>22</v>
      </c>
      <c r="B24" s="3">
        <v>38261</v>
      </c>
      <c r="C24" s="14" t="str">
        <f t="shared" si="0"/>
        <v>Octubre</v>
      </c>
      <c r="D24" s="14">
        <f t="shared" si="19"/>
        <v>2004</v>
      </c>
      <c r="E24" s="15">
        <f t="shared" si="1"/>
        <v>57501.991731711008</v>
      </c>
      <c r="F24" s="15">
        <f t="shared" si="2"/>
        <v>5975.6848701298695</v>
      </c>
      <c r="G24" s="56">
        <v>681.55731332799985</v>
      </c>
      <c r="H24" s="4">
        <f t="shared" si="20"/>
        <v>1.185276010104076</v>
      </c>
      <c r="I24" s="4">
        <f>SUMIFS($G$3:$G24,$D$3:$D24,D24)</f>
        <v>6209.8705354719987</v>
      </c>
      <c r="J24" s="2">
        <f t="shared" si="27"/>
        <v>7629.6776472939991</v>
      </c>
      <c r="K24" s="95">
        <f t="shared" si="34"/>
        <v>0.33684701920300308</v>
      </c>
      <c r="L24" s="95">
        <f t="shared" si="35"/>
        <v>0.22749493159010203</v>
      </c>
      <c r="M24" s="94"/>
      <c r="N24" s="4">
        <v>399.87199042099991</v>
      </c>
      <c r="O24" s="4">
        <f t="shared" si="3"/>
        <v>0.69540546053899532</v>
      </c>
      <c r="P24" s="4">
        <f>SUMIFS($N$3:$N24,$D$3:$D24,D24)</f>
        <v>4011.8483610329999</v>
      </c>
      <c r="Q24" s="4">
        <f t="shared" si="23"/>
        <v>4756.0708839040008</v>
      </c>
      <c r="R24" s="97">
        <f t="shared" si="36"/>
        <v>5.0813325046630942E-2</v>
      </c>
      <c r="S24" s="97">
        <f t="shared" si="37"/>
        <v>0.36848502821703777</v>
      </c>
      <c r="T24" s="96"/>
      <c r="U24" s="4">
        <v>136.22071109299998</v>
      </c>
      <c r="V24" s="4">
        <f t="shared" si="28"/>
        <v>1974.5979420249996</v>
      </c>
      <c r="W24" s="97"/>
      <c r="X24" s="97">
        <f t="shared" si="38"/>
        <v>0.10432348328706342</v>
      </c>
      <c r="Y24" s="4">
        <v>271.96277575900001</v>
      </c>
      <c r="Z24" s="4">
        <f t="shared" si="29"/>
        <v>2799.01419622</v>
      </c>
      <c r="AA24" s="97"/>
      <c r="AB24" s="97">
        <f t="shared" si="39"/>
        <v>2.804051711284794E-2</v>
      </c>
      <c r="AC24" s="4">
        <v>71.986131148999988</v>
      </c>
      <c r="AD24" s="4">
        <f t="shared" si="4"/>
        <v>0.12518893516744276</v>
      </c>
      <c r="AE24" s="4">
        <v>30.306557499999997</v>
      </c>
      <c r="AF24" s="4">
        <f t="shared" si="5"/>
        <v>5.2705230875136171E-2</v>
      </c>
      <c r="AG24" s="4">
        <v>179.39263425799999</v>
      </c>
      <c r="AH24" s="4">
        <f t="shared" si="6"/>
        <v>30.020430822032495</v>
      </c>
      <c r="AI24" s="4">
        <v>123.577583387</v>
      </c>
      <c r="AJ24" s="4">
        <f t="shared" si="7"/>
        <v>17.772960073146979</v>
      </c>
      <c r="AK24" s="101">
        <f>SUMIFS($AJ$3:$AJ24,$D$3:$D24,D24)</f>
        <v>166.30374711139405</v>
      </c>
      <c r="AL24" s="4">
        <v>29.990232632000001</v>
      </c>
      <c r="AM24" s="4">
        <f t="shared" si="8"/>
        <v>4.313203030388741</v>
      </c>
      <c r="AN24" s="101">
        <f>SUMIFS($AM$3:$AM24,$D$3:$D24,D24)</f>
        <v>29.590695828109855</v>
      </c>
      <c r="AO24" s="4">
        <f t="shared" si="21"/>
        <v>25.824818238999981</v>
      </c>
      <c r="AP24" s="56">
        <v>573.60985183000003</v>
      </c>
      <c r="AQ24" s="4">
        <f t="shared" si="9"/>
        <v>0.99754779713772512</v>
      </c>
      <c r="AR24" s="4">
        <f>SUMIFS($AP$3:$AP24,$D$3:$D24,D24)</f>
        <v>4309.4563006409999</v>
      </c>
      <c r="AS24" s="4">
        <f t="shared" si="30"/>
        <v>5577.8575371810002</v>
      </c>
      <c r="AT24" s="97">
        <f t="shared" si="40"/>
        <v>0.40838652752666493</v>
      </c>
      <c r="AU24" s="97">
        <f t="shared" si="41"/>
        <v>0.10040909194142111</v>
      </c>
      <c r="AV24" s="96"/>
      <c r="AW24" s="4">
        <v>232.94101996899997</v>
      </c>
      <c r="AX24" s="4">
        <f>SUMIFS($AW$3:$AW24,$D$3:$D24,D24)</f>
        <v>2256.9047804289999</v>
      </c>
      <c r="AY24" s="4">
        <f t="shared" si="31"/>
        <v>2873.1373036669997</v>
      </c>
      <c r="AZ24" s="97">
        <f t="shared" si="42"/>
        <v>0.10188101103487268</v>
      </c>
      <c r="BA24" s="97">
        <f t="shared" si="43"/>
        <v>8.0176917275843529E-2</v>
      </c>
      <c r="BB24" s="96"/>
      <c r="BC24" s="4">
        <v>175.02383233899999</v>
      </c>
      <c r="BD24" s="4">
        <f t="shared" si="22"/>
        <v>57.917187629999972</v>
      </c>
      <c r="BE24" s="4">
        <v>56.362137978999996</v>
      </c>
      <c r="BF24" s="4">
        <v>24.735061700999999</v>
      </c>
      <c r="BG24" s="4">
        <f t="shared" si="10"/>
        <v>3.5574029849894786</v>
      </c>
      <c r="BH24" s="4">
        <f>Datos1[[#This Row],[Intereses]]/Datos1[[#This Row],[PIB nominal (miles de millones de G.)]]*100</f>
        <v>4.3016008586984629E-2</v>
      </c>
      <c r="BI24" s="4">
        <v>91.991798783999997</v>
      </c>
      <c r="BJ24" s="4">
        <v>156.81579504499999</v>
      </c>
      <c r="BK24" s="4">
        <v>10.764038352</v>
      </c>
      <c r="BL24" s="56">
        <f t="shared" si="11"/>
        <v>107.94746149799983</v>
      </c>
      <c r="BM24" s="56">
        <f>SUMIFS($BL$3:$BL24,$D$3:$D24,D24)</f>
        <v>1900.4142348310002</v>
      </c>
      <c r="BN24" s="56">
        <f t="shared" si="24"/>
        <v>2051.8201101130003</v>
      </c>
      <c r="BO24" s="100">
        <f t="shared" si="44"/>
        <v>-0.27043258359253786</v>
      </c>
      <c r="BP24" s="100">
        <f t="shared" si="45"/>
        <v>1.6071265055326376</v>
      </c>
      <c r="BQ24" s="99"/>
      <c r="BR24" s="2">
        <f t="shared" si="12"/>
        <v>0.18772821296635073</v>
      </c>
      <c r="BS24" s="2">
        <f>+Datos1[[#This Row],[RON acumulado 12 meses]]/Datos1[[#This Row],[PIB nominal (miles de millones de G.)]]*100</f>
        <v>3.5682591999356248</v>
      </c>
      <c r="BT24" s="56">
        <v>253.47726556100002</v>
      </c>
      <c r="BU24" s="56">
        <f>SUMIFS($BT$3:$BT24,$D$3:$D24,D24)</f>
        <v>863.59353132800015</v>
      </c>
      <c r="BV24" s="56">
        <f t="shared" si="32"/>
        <v>1266.912943909</v>
      </c>
      <c r="BW24" s="100">
        <f t="shared" si="46"/>
        <v>1.8854991839163842</v>
      </c>
      <c r="BX24" s="100">
        <f t="shared" si="47"/>
        <v>0.21400480853763892</v>
      </c>
      <c r="BY24" s="99"/>
      <c r="BZ24" s="56">
        <f t="shared" si="13"/>
        <v>36.455166032483241</v>
      </c>
      <c r="CA24" s="56">
        <f>Datos1[[#This Row],[Adquisición Neta de Activos no Financieros]]/Datos1[[#This Row],[PIB nominal (miles de millones de G.)]]*100</f>
        <v>0.44081475776292667</v>
      </c>
      <c r="CB24" s="56">
        <f>+Datos1[[#This Row],[ANANF acumulado por año]]/Datos1[[#This Row],[PIB nominal (miles de millones de G.)]]*100</f>
        <v>1.5018497713214836</v>
      </c>
      <c r="CC24" s="56">
        <f>+Datos1[[#This Row],[ANANF acumulado 12 meses]]/Datos1[[#This Row],[PIB nominal (miles de millones de G.)]]*100</f>
        <v>2.2032505409900907</v>
      </c>
      <c r="CD24" s="4">
        <v>141.91923101299997</v>
      </c>
      <c r="CE24" s="4">
        <f t="shared" si="14"/>
        <v>20.410860588742604</v>
      </c>
      <c r="CF24" s="4">
        <f t="shared" si="15"/>
        <v>111.55803454800005</v>
      </c>
      <c r="CG24" s="4">
        <f t="shared" si="16"/>
        <v>16.044305443740637</v>
      </c>
      <c r="CH24" s="56">
        <f t="shared" si="17"/>
        <v>-145.5298040630002</v>
      </c>
      <c r="CI24" s="56">
        <f>SUMIFS($CH$3:$CH24,$D$3:$D24,D24)</f>
        <v>1036.8207035030002</v>
      </c>
      <c r="CJ24" s="56">
        <f t="shared" si="25"/>
        <v>784.90716620400008</v>
      </c>
      <c r="CK24" s="56">
        <f>Datos1[[#This Row],[Resultado Fiscal (miles de millones de G.)]]*1000/$F$207</f>
        <v>-20.930134140628432</v>
      </c>
      <c r="CL24" s="56">
        <f t="shared" si="33"/>
        <v>112.88555208580124</v>
      </c>
      <c r="CM24" s="100">
        <f t="shared" si="48"/>
        <v>-3.420828196981645</v>
      </c>
      <c r="CN24" s="100">
        <f t="shared" si="49"/>
        <v>58.006336651373935</v>
      </c>
      <c r="CO24" s="99"/>
      <c r="CP24" s="4">
        <f t="shared" si="18"/>
        <v>-0.253086544796576</v>
      </c>
      <c r="CQ24" s="4">
        <f t="shared" si="26"/>
        <v>1.3650086589455335</v>
      </c>
      <c r="CR24" s="73">
        <v>248.92372594099999</v>
      </c>
      <c r="CS24" s="113">
        <f>SUM(Datos1[[#This Row],[FFPP]:[MTESS]])</f>
        <v>0</v>
      </c>
      <c r="CT24" s="113"/>
      <c r="CU24" s="113"/>
      <c r="CV24" s="113"/>
      <c r="CW24" s="113"/>
      <c r="CX24" s="113"/>
      <c r="CY24" s="113"/>
      <c r="CZ24" s="113"/>
    </row>
    <row r="25" spans="1:104">
      <c r="A25">
        <v>23</v>
      </c>
      <c r="B25" s="3">
        <v>38292</v>
      </c>
      <c r="C25" s="14" t="str">
        <f t="shared" si="0"/>
        <v>Noviembre</v>
      </c>
      <c r="D25" s="14">
        <f t="shared" si="19"/>
        <v>2004</v>
      </c>
      <c r="E25" s="15">
        <f t="shared" si="1"/>
        <v>57501.991731711008</v>
      </c>
      <c r="F25" s="15">
        <f t="shared" si="2"/>
        <v>5975.6848701298695</v>
      </c>
      <c r="G25" s="56">
        <v>735.32286867499988</v>
      </c>
      <c r="H25" s="4">
        <f t="shared" si="20"/>
        <v>1.2787780849502062</v>
      </c>
      <c r="I25" s="4">
        <f>SUMIFS($G$3:$G25,$D$3:$D25,D25)</f>
        <v>6945.1934041469985</v>
      </c>
      <c r="J25" s="2">
        <f t="shared" si="27"/>
        <v>7782.3524706549988</v>
      </c>
      <c r="K25" s="95">
        <f t="shared" si="34"/>
        <v>0.32850921880454331</v>
      </c>
      <c r="L25" s="95">
        <f t="shared" si="35"/>
        <v>0.26203610325118376</v>
      </c>
      <c r="M25" s="94"/>
      <c r="N25" s="4">
        <v>502.65544425099995</v>
      </c>
      <c r="O25" s="4">
        <f t="shared" si="3"/>
        <v>0.87415310168081928</v>
      </c>
      <c r="P25" s="4">
        <f>SUMIFS($N$3:$N25,$D$3:$D25,D25)</f>
        <v>4514.503805284</v>
      </c>
      <c r="Q25" s="4">
        <f t="shared" si="23"/>
        <v>4888.0665344129993</v>
      </c>
      <c r="R25" s="97">
        <f t="shared" si="36"/>
        <v>0.35610997668896371</v>
      </c>
      <c r="S25" s="97">
        <f t="shared" si="37"/>
        <v>0.3670959986686757</v>
      </c>
      <c r="T25" s="96"/>
      <c r="U25" s="4">
        <v>210.09346728700001</v>
      </c>
      <c r="V25" s="4">
        <f t="shared" si="28"/>
        <v>1997.1728775139998</v>
      </c>
      <c r="W25" s="97"/>
      <c r="X25" s="97">
        <f t="shared" si="38"/>
        <v>0.12038775726613671</v>
      </c>
      <c r="Y25" s="4">
        <v>270.40030738099995</v>
      </c>
      <c r="Z25" s="4">
        <f t="shared" si="29"/>
        <v>2864.7947501410003</v>
      </c>
      <c r="AA25" s="97"/>
      <c r="AB25" s="97">
        <f t="shared" si="39"/>
        <v>0.32147704612428352</v>
      </c>
      <c r="AC25" s="4">
        <v>41.765513816000002</v>
      </c>
      <c r="AD25" s="4">
        <f t="shared" si="4"/>
        <v>7.2633160275328859E-2</v>
      </c>
      <c r="AE25" s="4">
        <v>28.135159868999999</v>
      </c>
      <c r="AF25" s="4">
        <f t="shared" si="5"/>
        <v>4.8929017972579397E-2</v>
      </c>
      <c r="AG25" s="4">
        <v>162.766750739</v>
      </c>
      <c r="AH25" s="4">
        <f t="shared" si="6"/>
        <v>27.238175083931861</v>
      </c>
      <c r="AI25" s="4">
        <v>122.32406266</v>
      </c>
      <c r="AJ25" s="4">
        <f t="shared" si="7"/>
        <v>17.592678397286203</v>
      </c>
      <c r="AK25" s="101">
        <f>SUMIFS($AJ$3:$AJ25,$D$3:$D25,D25)</f>
        <v>183.89642550868024</v>
      </c>
      <c r="AL25" s="4">
        <v>0</v>
      </c>
      <c r="AM25" s="4">
        <f t="shared" si="8"/>
        <v>0</v>
      </c>
      <c r="AN25" s="101">
        <f>SUMIFS($AM$3:$AM25,$D$3:$D25,D25)</f>
        <v>29.590695828109855</v>
      </c>
      <c r="AO25" s="4">
        <f t="shared" si="21"/>
        <v>40.442688079000007</v>
      </c>
      <c r="AP25" s="56">
        <v>492.84026294199998</v>
      </c>
      <c r="AQ25" s="4">
        <f t="shared" si="9"/>
        <v>0.85708381240333642</v>
      </c>
      <c r="AR25" s="4">
        <f>SUMIFS($AP$3:$AP25,$D$3:$D25,D25)</f>
        <v>4802.2965635829996</v>
      </c>
      <c r="AS25" s="4">
        <f t="shared" si="30"/>
        <v>5614.9001890729996</v>
      </c>
      <c r="AT25" s="97">
        <f t="shared" si="40"/>
        <v>8.1269956212948413E-2</v>
      </c>
      <c r="AU25" s="97">
        <f t="shared" si="41"/>
        <v>9.841377742416868E-2</v>
      </c>
      <c r="AV25" s="96"/>
      <c r="AW25" s="4">
        <v>250.02988155200006</v>
      </c>
      <c r="AX25" s="4">
        <f>SUMIFS($AW$3:$AW25,$D$3:$D25,D25)</f>
        <v>2506.9346619809999</v>
      </c>
      <c r="AY25" s="4">
        <f t="shared" si="31"/>
        <v>2910.7508861089996</v>
      </c>
      <c r="AZ25" s="97">
        <f t="shared" si="42"/>
        <v>0.17707484124145201</v>
      </c>
      <c r="BA25" s="97">
        <f t="shared" si="43"/>
        <v>8.9118915847576252E-2</v>
      </c>
      <c r="BB25" s="96"/>
      <c r="BC25" s="4">
        <v>190.166813959</v>
      </c>
      <c r="BD25" s="4">
        <f t="shared" si="22"/>
        <v>59.863067593000068</v>
      </c>
      <c r="BE25" s="4">
        <v>56.051894949000001</v>
      </c>
      <c r="BF25" s="4">
        <v>39.883473247000005</v>
      </c>
      <c r="BG25" s="4">
        <f t="shared" si="10"/>
        <v>5.7360514598954806</v>
      </c>
      <c r="BH25" s="4">
        <f>Datos1[[#This Row],[Intereses]]/Datos1[[#This Row],[PIB nominal (miles de millones de G.)]]*100</f>
        <v>6.9360159615141123E-2</v>
      </c>
      <c r="BI25" s="4">
        <v>58.136774639999999</v>
      </c>
      <c r="BJ25" s="4">
        <v>80.733147117000001</v>
      </c>
      <c r="BK25" s="4">
        <v>8.0050914370000008</v>
      </c>
      <c r="BL25" s="56">
        <f t="shared" si="11"/>
        <v>242.4826057329999</v>
      </c>
      <c r="BM25" s="56">
        <f>SUMIFS($BL$3:$BL25,$D$3:$D25,D25)</f>
        <v>2142.8968405639998</v>
      </c>
      <c r="BN25" s="56">
        <f t="shared" si="24"/>
        <v>2167.4522815820001</v>
      </c>
      <c r="BO25" s="100">
        <f t="shared" si="44"/>
        <v>0.91156307142273585</v>
      </c>
      <c r="BP25" s="100">
        <f t="shared" si="45"/>
        <v>1.5040247514119884</v>
      </c>
      <c r="BQ25" s="99"/>
      <c r="BR25" s="2">
        <f t="shared" si="12"/>
        <v>0.4216942725468697</v>
      </c>
      <c r="BS25" s="2">
        <f>+Datos1[[#This Row],[RON acumulado 12 meses]]/Datos1[[#This Row],[PIB nominal (miles de millones de G.)]]*100</f>
        <v>3.7693516629732677</v>
      </c>
      <c r="BT25" s="56">
        <v>220.77985035200001</v>
      </c>
      <c r="BU25" s="56">
        <f>SUMIFS($BT$3:$BT25,$D$3:$D25,D25)</f>
        <v>1084.3733816800002</v>
      </c>
      <c r="BV25" s="56">
        <f t="shared" si="32"/>
        <v>1342.0470145419999</v>
      </c>
      <c r="BW25" s="100">
        <f t="shared" si="46"/>
        <v>0.51586850492996805</v>
      </c>
      <c r="BX25" s="100">
        <f t="shared" si="47"/>
        <v>0.26530576092236391</v>
      </c>
      <c r="BY25" s="99"/>
      <c r="BZ25" s="56">
        <f t="shared" si="13"/>
        <v>31.752615302187934</v>
      </c>
      <c r="CA25" s="56">
        <f>Datos1[[#This Row],[Adquisición Neta de Activos no Financieros]]/Datos1[[#This Row],[PIB nominal (miles de millones de G.)]]*100</f>
        <v>0.38395165750449139</v>
      </c>
      <c r="CB25" s="56">
        <f>+Datos1[[#This Row],[ANANF acumulado por año]]/Datos1[[#This Row],[PIB nominal (miles de millones de G.)]]*100</f>
        <v>1.8858014288259748</v>
      </c>
      <c r="CC25" s="56">
        <f>+Datos1[[#This Row],[ANANF acumulado 12 meses]]/Datos1[[#This Row],[PIB nominal (miles de millones de G.)]]*100</f>
        <v>2.3339139638912583</v>
      </c>
      <c r="CD25" s="4">
        <v>112.010286247</v>
      </c>
      <c r="CE25" s="4">
        <f t="shared" si="14"/>
        <v>16.109348400311223</v>
      </c>
      <c r="CF25" s="4">
        <f t="shared" si="15"/>
        <v>108.76956410500001</v>
      </c>
      <c r="CG25" s="4">
        <f t="shared" si="16"/>
        <v>15.643266901876709</v>
      </c>
      <c r="CH25" s="56">
        <f t="shared" si="17"/>
        <v>21.702755380999889</v>
      </c>
      <c r="CI25" s="56">
        <f>SUMIFS($CH$3:$CH25,$D$3:$D25,D25)</f>
        <v>1058.5234588840001</v>
      </c>
      <c r="CJ25" s="56">
        <f t="shared" si="25"/>
        <v>825.4052670399999</v>
      </c>
      <c r="CK25" s="56">
        <f>Datos1[[#This Row],[Resultado Fiscal (miles de millones de G.)]]*1000/$F$207</f>
        <v>3.121295904094882</v>
      </c>
      <c r="CL25" s="56">
        <f t="shared" si="33"/>
        <v>118.70999944485375</v>
      </c>
      <c r="CM25" s="100">
        <f t="shared" si="48"/>
        <v>-2.1546877620824239</v>
      </c>
      <c r="CN25" s="100">
        <f t="shared" si="49"/>
        <v>-865.80648603435941</v>
      </c>
      <c r="CO25" s="99"/>
      <c r="CP25" s="4">
        <f t="shared" si="18"/>
        <v>3.7742615042378309E-2</v>
      </c>
      <c r="CQ25" s="4">
        <f t="shared" si="26"/>
        <v>1.4354376990820097</v>
      </c>
      <c r="CR25" s="73">
        <v>277.54186004299999</v>
      </c>
      <c r="CS25" s="113">
        <f>SUM(Datos1[[#This Row],[FFPP]:[MTESS]])</f>
        <v>0</v>
      </c>
      <c r="CT25" s="113"/>
      <c r="CU25" s="113"/>
      <c r="CV25" s="113"/>
      <c r="CW25" s="113"/>
      <c r="CX25" s="113"/>
      <c r="CY25" s="113"/>
      <c r="CZ25" s="113"/>
    </row>
    <row r="26" spans="1:104">
      <c r="A26">
        <v>24</v>
      </c>
      <c r="B26" s="3">
        <v>38322</v>
      </c>
      <c r="C26" s="14" t="str">
        <f t="shared" si="0"/>
        <v>Diciembre</v>
      </c>
      <c r="D26" s="14">
        <f t="shared" si="19"/>
        <v>2004</v>
      </c>
      <c r="E26" s="15">
        <f t="shared" si="1"/>
        <v>57501.991731711008</v>
      </c>
      <c r="F26" s="15">
        <f t="shared" si="2"/>
        <v>5975.6848701298695</v>
      </c>
      <c r="G26" s="56">
        <v>703.23841143799996</v>
      </c>
      <c r="H26" s="4">
        <f t="shared" si="20"/>
        <v>1.2229809616319436</v>
      </c>
      <c r="I26" s="4">
        <f>SUMIFS($G$3:$G26,$D$3:$D26,D26)</f>
        <v>7648.4318155849987</v>
      </c>
      <c r="J26" s="2">
        <f t="shared" si="27"/>
        <v>7648.4318155849987</v>
      </c>
      <c r="K26" s="95">
        <f t="shared" si="34"/>
        <v>0.26108345940292499</v>
      </c>
      <c r="L26" s="95">
        <f t="shared" si="35"/>
        <v>-0.15997038129039975</v>
      </c>
      <c r="M26" s="95">
        <f>J26/J14-1</f>
        <v>0.26108345940292499</v>
      </c>
      <c r="N26" s="4">
        <v>414.66157452599998</v>
      </c>
      <c r="O26" s="4">
        <f t="shared" si="3"/>
        <v>0.72112558545919692</v>
      </c>
      <c r="P26" s="4">
        <f>SUMIFS($N$3:$N26,$D$3:$D26,D26)</f>
        <v>4929.1653798099996</v>
      </c>
      <c r="Q26" s="4">
        <f t="shared" si="23"/>
        <v>4929.1653798099996</v>
      </c>
      <c r="R26" s="97">
        <f t="shared" si="36"/>
        <v>0.11001859177125706</v>
      </c>
      <c r="S26" s="97">
        <f t="shared" si="37"/>
        <v>0.34096998688746383</v>
      </c>
      <c r="T26" s="97">
        <f>IFERROR(Q26/Q14-1,0)</f>
        <v>0.34096998688746383</v>
      </c>
      <c r="U26" s="4">
        <v>137.65091444800001</v>
      </c>
      <c r="V26" s="4">
        <f t="shared" si="28"/>
        <v>2009.4754853669999</v>
      </c>
      <c r="W26" s="97">
        <f>V26/V14-1</f>
        <v>0.2333635668319336</v>
      </c>
      <c r="X26" s="97">
        <f t="shared" si="38"/>
        <v>9.8147379786706734E-2</v>
      </c>
      <c r="Y26" s="4">
        <v>266.46883773999997</v>
      </c>
      <c r="Z26" s="4">
        <f t="shared" si="29"/>
        <v>2912.848231338</v>
      </c>
      <c r="AA26" s="97">
        <f>Z26/Z14-1</f>
        <v>0.4024111425353869</v>
      </c>
      <c r="AB26" s="97">
        <f t="shared" si="39"/>
        <v>0.22000962733377949</v>
      </c>
      <c r="AC26" s="4">
        <v>49.895426155999999</v>
      </c>
      <c r="AD26" s="4">
        <f t="shared" si="4"/>
        <v>8.6771648517496192E-2</v>
      </c>
      <c r="AE26" s="4">
        <v>28.133152978999998</v>
      </c>
      <c r="AF26" s="4">
        <f t="shared" si="5"/>
        <v>4.8925527849994835E-2</v>
      </c>
      <c r="AG26" s="4">
        <v>210.548257777</v>
      </c>
      <c r="AH26" s="4">
        <f t="shared" si="6"/>
        <v>35.234163506420671</v>
      </c>
      <c r="AI26" s="4">
        <v>143.728955794</v>
      </c>
      <c r="AJ26" s="4">
        <f t="shared" si="7"/>
        <v>20.67113567581379</v>
      </c>
      <c r="AK26" s="101">
        <f>SUMIFS($AJ$3:$AJ26,$D$3:$D26,D26)</f>
        <v>204.56756118449402</v>
      </c>
      <c r="AL26" s="4">
        <v>14.726247754999999</v>
      </c>
      <c r="AM26" s="4">
        <f t="shared" si="8"/>
        <v>2.1179327690625356</v>
      </c>
      <c r="AN26" s="101">
        <f>SUMIFS($AM$3:$AM26,$D$3:$D26,D26)</f>
        <v>31.708628597172389</v>
      </c>
      <c r="AO26" s="4">
        <f t="shared" si="21"/>
        <v>52.093054228</v>
      </c>
      <c r="AP26" s="56">
        <v>827.95180206399993</v>
      </c>
      <c r="AQ26" s="4">
        <f t="shared" si="9"/>
        <v>1.439866302243934</v>
      </c>
      <c r="AR26" s="4">
        <f>SUMIFS($AP$3:$AP26,$D$3:$D26,D26)</f>
        <v>5630.2483656469994</v>
      </c>
      <c r="AS26" s="4">
        <f t="shared" si="30"/>
        <v>5630.2483656469994</v>
      </c>
      <c r="AT26" s="97">
        <f t="shared" si="40"/>
        <v>1.8887654561896561E-2</v>
      </c>
      <c r="AU26" s="97">
        <f t="shared" si="41"/>
        <v>8.5949399691235717E-2</v>
      </c>
      <c r="AV26" s="96"/>
      <c r="AW26" s="4">
        <v>453.92268863099991</v>
      </c>
      <c r="AX26" s="4">
        <f>SUMIFS($AW$3:$AW26,$D$3:$D26,D26)</f>
        <v>2960.8573506119997</v>
      </c>
      <c r="AY26" s="4">
        <f t="shared" si="31"/>
        <v>2960.8573506119997</v>
      </c>
      <c r="AZ26" s="97">
        <f t="shared" si="42"/>
        <v>0.12408234614941427</v>
      </c>
      <c r="BA26" s="97">
        <f t="shared" si="43"/>
        <v>9.4337245309253692E-2</v>
      </c>
      <c r="BB26" s="96"/>
      <c r="BC26" s="4">
        <v>191.79435394500001</v>
      </c>
      <c r="BD26" s="4">
        <f t="shared" si="22"/>
        <v>262.1283346859999</v>
      </c>
      <c r="BE26" s="4">
        <v>54.054819738999996</v>
      </c>
      <c r="BF26" s="4">
        <v>62.638663856999997</v>
      </c>
      <c r="BG26" s="4">
        <f t="shared" si="10"/>
        <v>9.0087088714088654</v>
      </c>
      <c r="BH26" s="4">
        <f>Datos1[[#This Row],[Intereses]]/Datos1[[#This Row],[PIB nominal (miles de millones de G.)]]*100</f>
        <v>0.10893303339692186</v>
      </c>
      <c r="BI26" s="4">
        <v>137.70022418600001</v>
      </c>
      <c r="BJ26" s="4">
        <v>111.14984113</v>
      </c>
      <c r="BK26" s="4">
        <v>8.4855645210000006</v>
      </c>
      <c r="BL26" s="56">
        <f t="shared" si="11"/>
        <v>-124.71339062599998</v>
      </c>
      <c r="BM26" s="56">
        <f>SUMIFS($BL$3:$BL26,$D$3:$D26,D26)</f>
        <v>2018.1834499379997</v>
      </c>
      <c r="BN26" s="56">
        <f t="shared" si="24"/>
        <v>2018.1834499379997</v>
      </c>
      <c r="BO26" s="100">
        <f t="shared" si="44"/>
        <v>-6.0788495525118762</v>
      </c>
      <c r="BP26" s="100">
        <f t="shared" si="45"/>
        <v>1.2925137754899576</v>
      </c>
      <c r="BQ26" s="100">
        <f>IFERROR(BN26/BN14-1,0)</f>
        <v>1.2925137754899576</v>
      </c>
      <c r="BR26" s="2">
        <f t="shared" si="12"/>
        <v>-0.21688534061199038</v>
      </c>
      <c r="BS26" s="2">
        <f>+Datos1[[#This Row],[RON acumulado 12 meses]]/Datos1[[#This Row],[PIB nominal (miles de millones de G.)]]*100</f>
        <v>3.5097626867505851</v>
      </c>
      <c r="BT26" s="56">
        <v>304.497843999</v>
      </c>
      <c r="BU26" s="56">
        <f>SUMIFS($BT$3:$BT26,$D$3:$D26,D26)</f>
        <v>1388.8712256790002</v>
      </c>
      <c r="BV26" s="56">
        <f t="shared" si="32"/>
        <v>1388.8712256790002</v>
      </c>
      <c r="BW26" s="100">
        <f t="shared" si="46"/>
        <v>0.1817190630524359</v>
      </c>
      <c r="BX26" s="100">
        <f t="shared" si="47"/>
        <v>0.24598352114076349</v>
      </c>
      <c r="BY26" s="100">
        <f>IFERROR(BV26/BV14-1,0)</f>
        <v>0.24598352114076349</v>
      </c>
      <c r="BZ26" s="56">
        <f t="shared" si="13"/>
        <v>43.792958847606599</v>
      </c>
      <c r="CA26" s="56">
        <f>Datos1[[#This Row],[Adquisición Neta de Activos no Financieros]]/Datos1[[#This Row],[PIB nominal (miles de millones de G.)]]*100</f>
        <v>0.52954312507939882</v>
      </c>
      <c r="CB26" s="56">
        <f>+Datos1[[#This Row],[ANANF acumulado por año]]/Datos1[[#This Row],[PIB nominal (miles de millones de G.)]]*100</f>
        <v>2.4153445539053737</v>
      </c>
      <c r="CC26" s="56">
        <f>+Datos1[[#This Row],[ANANF acumulado 12 meses]]/Datos1[[#This Row],[PIB nominal (miles de millones de G.)]]*100</f>
        <v>2.4153445539053737</v>
      </c>
      <c r="CD26" s="4">
        <v>157.00811859999999</v>
      </c>
      <c r="CE26" s="4">
        <f t="shared" si="14"/>
        <v>22.580948312437041</v>
      </c>
      <c r="CF26" s="4">
        <f t="shared" si="15"/>
        <v>147.48972539900001</v>
      </c>
      <c r="CG26" s="4">
        <f t="shared" si="16"/>
        <v>21.212010535169565</v>
      </c>
      <c r="CH26" s="56">
        <f t="shared" si="17"/>
        <v>-429.21123462499997</v>
      </c>
      <c r="CI26" s="56">
        <f>SUMIFS($CH$3:$CH26,$D$3:$D26,D26)</f>
        <v>629.31222425900012</v>
      </c>
      <c r="CJ26" s="56">
        <f t="shared" si="25"/>
        <v>629.31222425900012</v>
      </c>
      <c r="CK26" s="56">
        <f>Datos1[[#This Row],[Resultado Fiscal (miles de millones de G.)]]*1000/$F$207</f>
        <v>-61.729271012259701</v>
      </c>
      <c r="CL26" s="56">
        <f t="shared" si="33"/>
        <v>90.507847206171633</v>
      </c>
      <c r="CM26" s="100">
        <f t="shared" si="48"/>
        <v>0.84117434692622717</v>
      </c>
      <c r="CN26" s="100">
        <f t="shared" si="49"/>
        <v>-3.6854413979549894</v>
      </c>
      <c r="CO26" s="100">
        <f>IFERROR(CJ26/CJ14-1,0)</f>
        <v>-3.6854413979549894</v>
      </c>
      <c r="CP26" s="4">
        <f t="shared" si="18"/>
        <v>-0.74642846569138921</v>
      </c>
      <c r="CQ26" s="4">
        <f t="shared" si="26"/>
        <v>1.0944181328452125</v>
      </c>
      <c r="CR26" s="73">
        <v>469.04752901000001</v>
      </c>
      <c r="CS26" s="113">
        <f>SUM(Datos1[[#This Row],[FFPP]:[MTESS]])</f>
        <v>0</v>
      </c>
      <c r="CT26" s="113"/>
      <c r="CU26" s="113"/>
      <c r="CV26" s="113"/>
      <c r="CW26" s="113"/>
      <c r="CX26" s="113"/>
      <c r="CY26" s="113"/>
      <c r="CZ26" s="113"/>
    </row>
    <row r="27" spans="1:104">
      <c r="A27">
        <v>25</v>
      </c>
      <c r="B27" s="76">
        <v>38353</v>
      </c>
      <c r="C27" s="14" t="str">
        <f t="shared" si="0"/>
        <v>Enero</v>
      </c>
      <c r="D27" s="14">
        <f t="shared" si="19"/>
        <v>2005</v>
      </c>
      <c r="E27" s="15">
        <f t="shared" si="1"/>
        <v>66335.828408449219</v>
      </c>
      <c r="F27" s="15">
        <f t="shared" si="2"/>
        <v>6177.929761904762</v>
      </c>
      <c r="G27" s="56">
        <v>558.52203959100007</v>
      </c>
      <c r="H27" s="4">
        <f t="shared" si="20"/>
        <v>0.84196135480816714</v>
      </c>
      <c r="I27" s="4">
        <f>SUMIFS($G$3:$G27,$D$3:$D27,D27)</f>
        <v>558.52203959100007</v>
      </c>
      <c r="J27" s="2">
        <f t="shared" si="27"/>
        <v>7829.0602342379989</v>
      </c>
      <c r="K27" s="95">
        <f t="shared" si="34"/>
        <v>0.47798747754632043</v>
      </c>
      <c r="L27" s="95">
        <f t="shared" si="35"/>
        <v>0.47798747754632043</v>
      </c>
      <c r="M27" s="95">
        <f t="shared" ref="M27:M90" si="50">J27/J15-1</f>
        <v>0.29390026183365259</v>
      </c>
      <c r="N27" s="4">
        <v>398.58852087000002</v>
      </c>
      <c r="O27" s="4">
        <f t="shared" si="3"/>
        <v>0.60086461635147326</v>
      </c>
      <c r="P27" s="4">
        <f>SUMIFS($N$3:$N27,$D$3:$D27,D27)</f>
        <v>398.58852087000002</v>
      </c>
      <c r="Q27" s="4">
        <f t="shared" si="23"/>
        <v>5008.6811554959995</v>
      </c>
      <c r="R27" s="97">
        <f t="shared" si="36"/>
        <v>0.24920892456717203</v>
      </c>
      <c r="S27" s="97">
        <f t="shared" si="37"/>
        <v>0.24920892456717203</v>
      </c>
      <c r="T27" s="97">
        <f t="shared" ref="T27:T90" si="51">IFERROR(Q27/Q15-1,0)</f>
        <v>0.33552994410103532</v>
      </c>
      <c r="U27" s="4">
        <v>170.10389039900002</v>
      </c>
      <c r="V27" s="4">
        <f t="shared" si="28"/>
        <v>2048.2566193489997</v>
      </c>
      <c r="W27" s="97">
        <f>V27/V15-1</f>
        <v>0.24336599420907024</v>
      </c>
      <c r="X27" s="97">
        <f t="shared" si="38"/>
        <v>0.29531160508735477</v>
      </c>
      <c r="Y27" s="4">
        <v>222.77377916</v>
      </c>
      <c r="Z27" s="4">
        <f t="shared" si="29"/>
        <v>2938.9122650179997</v>
      </c>
      <c r="AA27" s="97">
        <f>Z27/Z15-1</f>
        <v>0.37778553922052183</v>
      </c>
      <c r="AB27" s="97">
        <f t="shared" si="39"/>
        <v>0.13249996138422104</v>
      </c>
      <c r="AC27" s="4">
        <v>0</v>
      </c>
      <c r="AD27" s="4">
        <f t="shared" si="4"/>
        <v>0</v>
      </c>
      <c r="AE27" s="4">
        <v>2.692230457</v>
      </c>
      <c r="AF27" s="4">
        <f t="shared" si="5"/>
        <v>4.0584862231962263E-3</v>
      </c>
      <c r="AG27" s="4">
        <v>157.24128826399999</v>
      </c>
      <c r="AH27" s="4">
        <f t="shared" si="6"/>
        <v>25.452100351416071</v>
      </c>
      <c r="AI27" s="4">
        <v>131.71813624499998</v>
      </c>
      <c r="AJ27" s="4">
        <f t="shared" si="7"/>
        <v>18.943736495157804</v>
      </c>
      <c r="AK27" s="101">
        <f>SUMIFS($AJ$3:$AJ27,$D$3:$D27,D27)</f>
        <v>18.943736495157804</v>
      </c>
      <c r="AL27" s="4">
        <v>9.5674511530000004</v>
      </c>
      <c r="AM27" s="4">
        <f t="shared" si="8"/>
        <v>1.3759933046395934</v>
      </c>
      <c r="AN27" s="101">
        <f>SUMIFS($AM$3:$AM27,$D$3:$D27,D27)</f>
        <v>1.3759933046395934</v>
      </c>
      <c r="AO27" s="4">
        <f t="shared" si="21"/>
        <v>15.955700866000008</v>
      </c>
      <c r="AP27" s="56">
        <v>387.85617341400007</v>
      </c>
      <c r="AQ27" s="4">
        <f t="shared" si="9"/>
        <v>0.58468580662904435</v>
      </c>
      <c r="AR27" s="4">
        <f>SUMIFS($AP$3:$AP27,$D$3:$D27,D27)</f>
        <v>387.85617341400007</v>
      </c>
      <c r="AS27" s="4">
        <f t="shared" si="30"/>
        <v>5689.0076325979999</v>
      </c>
      <c r="AT27" s="97">
        <f t="shared" si="40"/>
        <v>0.17854700483976238</v>
      </c>
      <c r="AU27" s="97">
        <f t="shared" si="41"/>
        <v>0.17854700483976238</v>
      </c>
      <c r="AV27" s="98">
        <f t="shared" ref="AV27:AV58" si="52">IFERROR(AS27/AS15-1,0)</f>
        <v>0.10737205590454901</v>
      </c>
      <c r="AW27" s="4">
        <v>242.18290240400003</v>
      </c>
      <c r="AX27" s="4">
        <f>SUMIFS($AW$3:$AW27,$D$3:$D27,D27)</f>
        <v>242.18290240400003</v>
      </c>
      <c r="AY27" s="4">
        <f t="shared" si="31"/>
        <v>2988.5960934609993</v>
      </c>
      <c r="AZ27" s="97">
        <f t="shared" si="42"/>
        <v>0.12935182243508803</v>
      </c>
      <c r="BA27" s="97">
        <f t="shared" si="43"/>
        <v>0.12935182243508803</v>
      </c>
      <c r="BB27" s="97">
        <f>IFERROR(AY27/AY15-1,0)</f>
        <v>9.7177205470770911E-2</v>
      </c>
      <c r="BC27" s="4">
        <v>188.817753141</v>
      </c>
      <c r="BD27" s="4">
        <f t="shared" si="22"/>
        <v>53.365149263000035</v>
      </c>
      <c r="BE27" s="4">
        <v>13.169083991999999</v>
      </c>
      <c r="BF27" s="4">
        <v>68.347265024999999</v>
      </c>
      <c r="BG27" s="4">
        <f t="shared" si="10"/>
        <v>9.8297213710193514</v>
      </c>
      <c r="BH27" s="4">
        <f>Datos1[[#This Row],[Intereses]]/Datos1[[#This Row],[PIB nominal (miles de millones de G.)]]*100</f>
        <v>0.10303220245350035</v>
      </c>
      <c r="BI27" s="4">
        <v>8.2530983500000001</v>
      </c>
      <c r="BJ27" s="4">
        <v>55.485869911000002</v>
      </c>
      <c r="BK27" s="4">
        <v>0.41795373200000008</v>
      </c>
      <c r="BL27" s="56">
        <f t="shared" si="11"/>
        <v>170.665866177</v>
      </c>
      <c r="BM27" s="56">
        <f>SUMIFS($BL$3:$BL27,$D$3:$D27,D27)</f>
        <v>170.665866177</v>
      </c>
      <c r="BN27" s="56">
        <f t="shared" si="24"/>
        <v>2140.0526016399999</v>
      </c>
      <c r="BO27" s="100">
        <f t="shared" si="44"/>
        <v>2.4974868290453656</v>
      </c>
      <c r="BP27" s="100">
        <f t="shared" si="45"/>
        <v>2.4974868290453656</v>
      </c>
      <c r="BQ27" s="100">
        <f t="shared" ref="BQ27:BQ90" si="53">IFERROR(BN27/BN15-1,0)</f>
        <v>1.3430810645645317</v>
      </c>
      <c r="BR27" s="2">
        <f t="shared" si="12"/>
        <v>0.25727554817912279</v>
      </c>
      <c r="BS27" s="2">
        <f>+Datos1[[#This Row],[RON acumulado 12 meses]]/Datos1[[#This Row],[PIB nominal (miles de millones de G.)]]*100</f>
        <v>3.2260886054864142</v>
      </c>
      <c r="BT27" s="56">
        <v>30.764703222999998</v>
      </c>
      <c r="BU27" s="56">
        <f>SUMIFS($BT$3:$BT27,$D$3:$D27,D27)</f>
        <v>30.764703222999998</v>
      </c>
      <c r="BV27" s="56">
        <f t="shared" si="32"/>
        <v>1418.72151665</v>
      </c>
      <c r="BW27" s="100">
        <f t="shared" si="46"/>
        <v>32.6442377666217</v>
      </c>
      <c r="BX27" s="100">
        <f t="shared" si="47"/>
        <v>32.6442377666217</v>
      </c>
      <c r="BY27" s="100">
        <f t="shared" ref="BY27:BY90" si="54">IFERROR(BV27/BV15-1,0)</f>
        <v>0.3017814456071275</v>
      </c>
      <c r="BZ27" s="56">
        <f t="shared" si="13"/>
        <v>4.4245875915236157</v>
      </c>
      <c r="CA27" s="56">
        <f>Datos1[[#This Row],[Adquisición Neta de Activos no Financieros]]/Datos1[[#This Row],[PIB nominal (miles de millones de G.)]]*100</f>
        <v>4.6377205141047859E-2</v>
      </c>
      <c r="CB27" s="56">
        <f>+Datos1[[#This Row],[ANANF acumulado por año]]/Datos1[[#This Row],[PIB nominal (miles de millones de G.)]]*100</f>
        <v>4.6377205141047859E-2</v>
      </c>
      <c r="CC27" s="56">
        <f>+Datos1[[#This Row],[ANANF acumulado 12 meses]]/Datos1[[#This Row],[PIB nominal (miles de millones de G.)]]*100</f>
        <v>2.1386957104304392</v>
      </c>
      <c r="CD27" s="4">
        <v>26.138144240999999</v>
      </c>
      <c r="CE27" s="4">
        <f t="shared" si="14"/>
        <v>3.7591946795612703</v>
      </c>
      <c r="CF27" s="4">
        <f t="shared" si="15"/>
        <v>4.6265589819999988</v>
      </c>
      <c r="CG27" s="4">
        <f t="shared" si="16"/>
        <v>0.66539291196234562</v>
      </c>
      <c r="CH27" s="56">
        <f t="shared" si="17"/>
        <v>139.901162954</v>
      </c>
      <c r="CI27" s="56">
        <f>SUMIFS($CH$3:$CH27,$D$3:$D27,D27)</f>
        <v>139.901162954</v>
      </c>
      <c r="CJ27" s="56">
        <f t="shared" si="25"/>
        <v>721.33108499000002</v>
      </c>
      <c r="CK27" s="56">
        <f>Datos1[[#This Row],[Resultado Fiscal (miles de millones de G.)]]*1000/$F$207</f>
        <v>20.120621517428376</v>
      </c>
      <c r="CL27" s="56">
        <f t="shared" si="33"/>
        <v>103.74202360713673</v>
      </c>
      <c r="CM27" s="100">
        <f t="shared" si="48"/>
        <v>1.9217718542948234</v>
      </c>
      <c r="CN27" s="100">
        <f t="shared" si="49"/>
        <v>1.9217718542948234</v>
      </c>
      <c r="CO27" s="100">
        <f t="shared" ref="CO27:CO90" si="55">IFERROR(CJ27/CJ15-1,0)</f>
        <v>-5.0873014238600707</v>
      </c>
      <c r="CP27" s="4">
        <f t="shared" si="18"/>
        <v>0.21089834303807492</v>
      </c>
      <c r="CQ27" s="4">
        <f t="shared" si="26"/>
        <v>1.0873928950559753</v>
      </c>
      <c r="CR27" s="73">
        <v>255.17023909400001</v>
      </c>
      <c r="CS27" s="113">
        <f>SUM(Datos1[[#This Row],[FFPP]:[MTESS]])</f>
        <v>0</v>
      </c>
      <c r="CT27" s="113"/>
      <c r="CU27" s="113"/>
      <c r="CV27" s="113"/>
      <c r="CW27" s="113"/>
      <c r="CX27" s="113"/>
      <c r="CY27" s="113"/>
      <c r="CZ27" s="113"/>
    </row>
    <row r="28" spans="1:104">
      <c r="A28">
        <v>26</v>
      </c>
      <c r="B28" s="3">
        <v>38384</v>
      </c>
      <c r="C28" s="14" t="str">
        <f t="shared" si="0"/>
        <v>Febrero</v>
      </c>
      <c r="D28" s="14">
        <f t="shared" si="19"/>
        <v>2005</v>
      </c>
      <c r="E28" s="15">
        <f t="shared" si="1"/>
        <v>66335.828408449219</v>
      </c>
      <c r="F28" s="15">
        <f t="shared" si="2"/>
        <v>6177.929761904762</v>
      </c>
      <c r="G28" s="56">
        <v>594.57119219499998</v>
      </c>
      <c r="H28" s="4">
        <f t="shared" si="20"/>
        <v>0.8963047669112536</v>
      </c>
      <c r="I28" s="4">
        <f>SUMIFS($G$3:$G28,$D$3:$D28,D28)</f>
        <v>1153.0932317860002</v>
      </c>
      <c r="J28" s="2">
        <f t="shared" si="27"/>
        <v>7920.7361326999999</v>
      </c>
      <c r="K28" s="95">
        <f t="shared" si="34"/>
        <v>0.30915956431707992</v>
      </c>
      <c r="L28" s="95">
        <f t="shared" si="35"/>
        <v>0.18229619486292714</v>
      </c>
      <c r="M28" s="95">
        <f t="shared" si="50"/>
        <v>0.28596536815368134</v>
      </c>
      <c r="N28" s="4">
        <v>368.37826086399997</v>
      </c>
      <c r="O28" s="4">
        <f t="shared" si="3"/>
        <v>0.55532322381773325</v>
      </c>
      <c r="P28" s="4">
        <f>SUMIFS($N$3:$N28,$D$3:$D28,D28)</f>
        <v>766.96678173400005</v>
      </c>
      <c r="Q28" s="4">
        <f t="shared" si="23"/>
        <v>5071.645068324</v>
      </c>
      <c r="R28" s="97">
        <f t="shared" si="36"/>
        <v>0.20615898772567909</v>
      </c>
      <c r="S28" s="97">
        <f t="shared" si="37"/>
        <v>0.22815473700079503</v>
      </c>
      <c r="T28" s="97">
        <f t="shared" si="51"/>
        <v>0.32567969365614036</v>
      </c>
      <c r="U28" s="4">
        <v>150.37609278300005</v>
      </c>
      <c r="V28" s="4">
        <f t="shared" si="28"/>
        <v>2073.6049939959998</v>
      </c>
      <c r="W28" s="97">
        <f t="shared" ref="W28:W91" si="56">V28/V16-1</f>
        <v>0.24847432211913567</v>
      </c>
      <c r="X28" s="97">
        <f t="shared" si="38"/>
        <v>0.20274204012447172</v>
      </c>
      <c r="Y28" s="4">
        <v>223.18840941299999</v>
      </c>
      <c r="Z28" s="4">
        <f t="shared" si="29"/>
        <v>2974.1100665859994</v>
      </c>
      <c r="AA28" s="97">
        <f t="shared" ref="AA28:AA91" si="57">Z28/Z16-1</f>
        <v>0.35412627317408818</v>
      </c>
      <c r="AB28" s="97">
        <f t="shared" si="39"/>
        <v>0.18723170253814447</v>
      </c>
      <c r="AC28" s="4">
        <v>30.821221482000002</v>
      </c>
      <c r="AD28" s="4">
        <f t="shared" si="4"/>
        <v>4.6462405341838306E-2</v>
      </c>
      <c r="AE28" s="4">
        <v>11.369515374000001</v>
      </c>
      <c r="AF28" s="4">
        <f t="shared" si="5"/>
        <v>1.7139328243546682E-2</v>
      </c>
      <c r="AG28" s="4">
        <v>184.00219447500001</v>
      </c>
      <c r="AH28" s="4">
        <f t="shared" si="6"/>
        <v>29.783795149245748</v>
      </c>
      <c r="AI28" s="4">
        <v>138.81738737200001</v>
      </c>
      <c r="AJ28" s="4">
        <f t="shared" si="7"/>
        <v>19.964752632318234</v>
      </c>
      <c r="AK28" s="101">
        <f>SUMIFS($AJ$3:$AJ28,$D$3:$D28,D28)</f>
        <v>38.908489127476038</v>
      </c>
      <c r="AL28" s="4">
        <v>10.561345394</v>
      </c>
      <c r="AM28" s="4">
        <f t="shared" si="8"/>
        <v>1.5189354319905153</v>
      </c>
      <c r="AN28" s="101">
        <f>SUMIFS($AM$3:$AM28,$D$3:$D28,D28)</f>
        <v>2.8949287366301086</v>
      </c>
      <c r="AO28" s="4">
        <f t="shared" si="21"/>
        <v>34.623461708999997</v>
      </c>
      <c r="AP28" s="56">
        <v>498.15249275700006</v>
      </c>
      <c r="AQ28" s="4">
        <f t="shared" si="9"/>
        <v>0.75095541083730588</v>
      </c>
      <c r="AR28" s="4">
        <f>SUMIFS($AP$3:$AP28,$D$3:$D28,D28)</f>
        <v>886.00866617100019</v>
      </c>
      <c r="AS28" s="4">
        <f t="shared" si="30"/>
        <v>5799.805945047</v>
      </c>
      <c r="AT28" s="97">
        <f t="shared" si="40"/>
        <v>0.28603876782974247</v>
      </c>
      <c r="AU28" s="97">
        <f t="shared" si="41"/>
        <v>0.23666316170191837</v>
      </c>
      <c r="AV28" s="98">
        <f t="shared" si="52"/>
        <v>0.12116341465245695</v>
      </c>
      <c r="AW28" s="4">
        <v>252.55279972100004</v>
      </c>
      <c r="AX28" s="4">
        <f>SUMIFS($AW$3:$AW28,$D$3:$D28,D28)</f>
        <v>494.7357021250001</v>
      </c>
      <c r="AY28" s="4">
        <f t="shared" si="31"/>
        <v>3018.7471708859998</v>
      </c>
      <c r="AZ28" s="97">
        <f t="shared" si="42"/>
        <v>0.13557034142420576</v>
      </c>
      <c r="BA28" s="97">
        <f t="shared" si="43"/>
        <v>0.13251772004513329</v>
      </c>
      <c r="BB28" s="97">
        <f t="shared" ref="BB28:BB91" si="58">IFERROR(AY28/AY16-1,0)</f>
        <v>0.1028553652332016</v>
      </c>
      <c r="BC28" s="4">
        <v>189.41800221599999</v>
      </c>
      <c r="BD28" s="4">
        <f t="shared" si="22"/>
        <v>63.134797505000051</v>
      </c>
      <c r="BE28" s="4">
        <v>23.001357398</v>
      </c>
      <c r="BF28" s="4">
        <v>33.195611381999996</v>
      </c>
      <c r="BG28" s="4">
        <f t="shared" si="10"/>
        <v>4.7742014330250608</v>
      </c>
      <c r="BH28" s="4">
        <f>Datos1[[#This Row],[Intereses]]/Datos1[[#This Row],[PIB nominal (miles de millones de G.)]]*100</f>
        <v>5.0041752968855449E-2</v>
      </c>
      <c r="BI28" s="4">
        <v>68.056514777000004</v>
      </c>
      <c r="BJ28" s="4">
        <v>112.91905761699999</v>
      </c>
      <c r="BK28" s="4">
        <v>8.4271518619999988</v>
      </c>
      <c r="BL28" s="56">
        <f t="shared" si="11"/>
        <v>96.418699437999919</v>
      </c>
      <c r="BM28" s="56">
        <f>SUMIFS($BL$3:$BL28,$D$3:$D28,D28)</f>
        <v>267.08456561499992</v>
      </c>
      <c r="BN28" s="56">
        <f t="shared" si="24"/>
        <v>2120.9301876530003</v>
      </c>
      <c r="BO28" s="100">
        <f t="shared" si="44"/>
        <v>-0.1655031133087782</v>
      </c>
      <c r="BP28" s="100">
        <f t="shared" si="45"/>
        <v>0.62521659819868947</v>
      </c>
      <c r="BQ28" s="100">
        <f t="shared" si="53"/>
        <v>1.1502922375200271</v>
      </c>
      <c r="BR28" s="2">
        <f t="shared" si="12"/>
        <v>0.14534935607394786</v>
      </c>
      <c r="BS28" s="2">
        <f>+Datos1[[#This Row],[RON acumulado 12 meses]]/Datos1[[#This Row],[PIB nominal (miles de millones de G.)]]*100</f>
        <v>3.1972619299992893</v>
      </c>
      <c r="BT28" s="56">
        <v>30.007674707</v>
      </c>
      <c r="BU28" s="56">
        <f>SUMIFS($BT$3:$BT28,$D$3:$D28,D28)</f>
        <v>60.772377929999998</v>
      </c>
      <c r="BV28" s="56">
        <f t="shared" si="32"/>
        <v>1430.1465475130001</v>
      </c>
      <c r="BW28" s="100">
        <f t="shared" si="46"/>
        <v>0.61482267856567296</v>
      </c>
      <c r="BX28" s="100">
        <f t="shared" si="47"/>
        <v>2.1170027736888959</v>
      </c>
      <c r="BY28" s="100">
        <f t="shared" si="54"/>
        <v>0.31641775749194778</v>
      </c>
      <c r="BZ28" s="56">
        <f t="shared" si="13"/>
        <v>4.3157115541361017</v>
      </c>
      <c r="CA28" s="56">
        <f>Datos1[[#This Row],[Adquisición Neta de Activos no Financieros]]/Datos1[[#This Row],[PIB nominal (miles de millones de G.)]]*100</f>
        <v>4.5235999047504034E-2</v>
      </c>
      <c r="CB28" s="56">
        <f>+Datos1[[#This Row],[ANANF acumulado por año]]/Datos1[[#This Row],[PIB nominal (miles de millones de G.)]]*100</f>
        <v>9.16132041885519E-2</v>
      </c>
      <c r="CC28" s="56">
        <f>+Datos1[[#This Row],[ANANF acumulado 12 meses]]/Datos1[[#This Row],[PIB nominal (miles de millones de G.)]]*100</f>
        <v>2.1559187272180682</v>
      </c>
      <c r="CD28" s="4">
        <v>15.950185163</v>
      </c>
      <c r="CE28" s="4">
        <f t="shared" si="14"/>
        <v>2.2939597643169467</v>
      </c>
      <c r="CF28" s="4">
        <f t="shared" si="15"/>
        <v>14.057489543999999</v>
      </c>
      <c r="CG28" s="4">
        <f t="shared" si="16"/>
        <v>2.021751789819155</v>
      </c>
      <c r="CH28" s="56">
        <f t="shared" si="17"/>
        <v>66.411024730999912</v>
      </c>
      <c r="CI28" s="56">
        <f>SUMIFS($CH$3:$CH28,$D$3:$D28,D28)</f>
        <v>206.31218768499991</v>
      </c>
      <c r="CJ28" s="56">
        <f t="shared" si="25"/>
        <v>690.78364013999999</v>
      </c>
      <c r="CK28" s="56">
        <f>Datos1[[#This Row],[Resultado Fiscal (miles de millones de G.)]]*1000/$F$207</f>
        <v>9.5512507900765797</v>
      </c>
      <c r="CL28" s="56">
        <f t="shared" si="33"/>
        <v>99.348682171129781</v>
      </c>
      <c r="CM28" s="100">
        <f t="shared" si="48"/>
        <v>-0.31505700308605367</v>
      </c>
      <c r="CN28" s="100">
        <f t="shared" si="49"/>
        <v>0.42440685116055188</v>
      </c>
      <c r="CO28" s="100">
        <f t="shared" si="55"/>
        <v>-7.9045540004560628</v>
      </c>
      <c r="CP28" s="4">
        <f t="shared" si="18"/>
        <v>0.10011335702644383</v>
      </c>
      <c r="CQ28" s="4">
        <f t="shared" si="26"/>
        <v>1.0413432027812208</v>
      </c>
      <c r="CR28" s="73">
        <v>267.45129515500003</v>
      </c>
      <c r="CS28" s="113">
        <f>SUM(Datos1[[#This Row],[FFPP]:[MTESS]])</f>
        <v>0</v>
      </c>
      <c r="CT28" s="113"/>
      <c r="CU28" s="113"/>
      <c r="CV28" s="113"/>
      <c r="CW28" s="113"/>
      <c r="CX28" s="113"/>
      <c r="CY28" s="113"/>
      <c r="CZ28" s="113"/>
    </row>
    <row r="29" spans="1:104">
      <c r="A29">
        <v>27</v>
      </c>
      <c r="B29" s="3">
        <v>38412</v>
      </c>
      <c r="C29" s="14" t="str">
        <f t="shared" si="0"/>
        <v>Marzo</v>
      </c>
      <c r="D29" s="14">
        <f t="shared" si="19"/>
        <v>2005</v>
      </c>
      <c r="E29" s="15">
        <f t="shared" si="1"/>
        <v>66335.828408449219</v>
      </c>
      <c r="F29" s="15">
        <f t="shared" si="2"/>
        <v>6177.929761904762</v>
      </c>
      <c r="G29" s="56">
        <v>734.53343079499996</v>
      </c>
      <c r="H29" s="4">
        <f t="shared" si="20"/>
        <v>1.1072951803243662</v>
      </c>
      <c r="I29" s="4">
        <f>SUMIFS($G$3:$G29,$D$3:$D29,D29)</f>
        <v>1887.6266625810001</v>
      </c>
      <c r="J29" s="2">
        <f t="shared" si="27"/>
        <v>8040.6499659449992</v>
      </c>
      <c r="K29" s="95">
        <f t="shared" si="34"/>
        <v>0.26228160877422901</v>
      </c>
      <c r="L29" s="95">
        <f t="shared" si="35"/>
        <v>0.19510252149947904</v>
      </c>
      <c r="M29" s="95">
        <f t="shared" si="50"/>
        <v>0.26382515643694293</v>
      </c>
      <c r="N29" s="4">
        <v>342.57123041199998</v>
      </c>
      <c r="O29" s="4">
        <f t="shared" si="3"/>
        <v>0.51641961611256004</v>
      </c>
      <c r="P29" s="4">
        <f>SUMIFS($N$3:$N29,$D$3:$D29,D29)</f>
        <v>1109.538012146</v>
      </c>
      <c r="Q29" s="4">
        <f t="shared" si="23"/>
        <v>5049.5688489439999</v>
      </c>
      <c r="R29" s="97">
        <f t="shared" si="36"/>
        <v>-6.054126908769708E-2</v>
      </c>
      <c r="S29" s="97">
        <f t="shared" si="37"/>
        <v>0.12172607860540507</v>
      </c>
      <c r="T29" s="97">
        <f t="shared" si="51"/>
        <v>0.27880427461620938</v>
      </c>
      <c r="U29" s="4">
        <v>139.979305522</v>
      </c>
      <c r="V29" s="4">
        <f t="shared" si="28"/>
        <v>2078.2589878450003</v>
      </c>
      <c r="W29" s="97">
        <f t="shared" si="56"/>
        <v>0.23411142531572859</v>
      </c>
      <c r="X29" s="97">
        <f t="shared" si="38"/>
        <v>3.43911555899159E-2</v>
      </c>
      <c r="Y29" s="4">
        <v>238.11019938000004</v>
      </c>
      <c r="Z29" s="4">
        <f t="shared" si="29"/>
        <v>2986.7923612049999</v>
      </c>
      <c r="AA29" s="97">
        <f t="shared" si="57"/>
        <v>0.2994890207148504</v>
      </c>
      <c r="AB29" s="97">
        <f t="shared" si="39"/>
        <v>5.6258761010292258E-2</v>
      </c>
      <c r="AC29" s="4">
        <v>99.012318210000004</v>
      </c>
      <c r="AD29" s="4">
        <f t="shared" si="4"/>
        <v>0.1492591870570335</v>
      </c>
      <c r="AE29" s="4">
        <v>25.133250443999998</v>
      </c>
      <c r="AF29" s="4">
        <f t="shared" si="5"/>
        <v>3.7887897154531905E-2</v>
      </c>
      <c r="AG29" s="4">
        <v>267.81663172899999</v>
      </c>
      <c r="AH29" s="4">
        <f t="shared" si="6"/>
        <v>43.350546550472203</v>
      </c>
      <c r="AI29" s="4">
        <v>221.13256297500001</v>
      </c>
      <c r="AJ29" s="4">
        <f t="shared" si="7"/>
        <v>31.803342523048389</v>
      </c>
      <c r="AK29" s="101">
        <f>SUMIFS($AJ$3:$AJ29,$D$3:$D29,D29)</f>
        <v>70.711831650524431</v>
      </c>
      <c r="AL29" s="4">
        <v>10.51152933</v>
      </c>
      <c r="AM29" s="4">
        <f t="shared" si="8"/>
        <v>1.5117708727540664</v>
      </c>
      <c r="AN29" s="101">
        <f>SUMIFS($AM$3:$AM29,$D$3:$D29,D29)</f>
        <v>4.4066996093841748</v>
      </c>
      <c r="AO29" s="4">
        <f t="shared" si="21"/>
        <v>36.172539423999979</v>
      </c>
      <c r="AP29" s="56">
        <v>465.25280682600004</v>
      </c>
      <c r="AQ29" s="4">
        <f t="shared" si="9"/>
        <v>0.70135975985903365</v>
      </c>
      <c r="AR29" s="4">
        <f>SUMIFS($AP$3:$AP29,$D$3:$D29,D29)</f>
        <v>1351.2614729970003</v>
      </c>
      <c r="AS29" s="4">
        <f t="shared" si="30"/>
        <v>5851.4382964790002</v>
      </c>
      <c r="AT29" s="97">
        <f t="shared" si="40"/>
        <v>0.12483026590843282</v>
      </c>
      <c r="AU29" s="97">
        <f t="shared" si="41"/>
        <v>0.19573090957431161</v>
      </c>
      <c r="AV29" s="98">
        <f t="shared" si="52"/>
        <v>0.12880142874694966</v>
      </c>
      <c r="AW29" s="4">
        <v>244.73307948800004</v>
      </c>
      <c r="AX29" s="4">
        <f>SUMIFS($AW$3:$AW29,$D$3:$D29,D29)</f>
        <v>739.46878161300015</v>
      </c>
      <c r="AY29" s="4">
        <f t="shared" si="31"/>
        <v>3036.6707162829998</v>
      </c>
      <c r="AZ29" s="97">
        <f t="shared" si="42"/>
        <v>7.9024655946820843E-2</v>
      </c>
      <c r="BA29" s="97">
        <f t="shared" si="43"/>
        <v>0.11423603853724296</v>
      </c>
      <c r="BB29" s="97">
        <f t="shared" si="58"/>
        <v>0.10155148887737808</v>
      </c>
      <c r="BC29" s="4">
        <v>189.158581223</v>
      </c>
      <c r="BD29" s="4">
        <f t="shared" si="22"/>
        <v>55.574498265000045</v>
      </c>
      <c r="BE29" s="4">
        <v>36.024994618000001</v>
      </c>
      <c r="BF29" s="4">
        <v>30.01204405</v>
      </c>
      <c r="BG29" s="4">
        <f t="shared" si="10"/>
        <v>4.3163399541788641</v>
      </c>
      <c r="BH29" s="4">
        <f>Datos1[[#This Row],[Intereses]]/Datos1[[#This Row],[PIB nominal (miles de millones de G.)]]*100</f>
        <v>4.5242585748996776E-2</v>
      </c>
      <c r="BI29" s="4">
        <v>54.259594648999993</v>
      </c>
      <c r="BJ29" s="4">
        <v>89.238728932000001</v>
      </c>
      <c r="BK29" s="4">
        <v>10.984365088999999</v>
      </c>
      <c r="BL29" s="56">
        <f t="shared" si="11"/>
        <v>269.28062396899992</v>
      </c>
      <c r="BM29" s="56">
        <f>SUMIFS($BL$3:$BL29,$D$3:$D29,D29)</f>
        <v>536.36518958399984</v>
      </c>
      <c r="BN29" s="56">
        <f t="shared" si="24"/>
        <v>2189.2116694659999</v>
      </c>
      <c r="BO29" s="100">
        <f t="shared" si="44"/>
        <v>0.33971031458435341</v>
      </c>
      <c r="BP29" s="100">
        <f t="shared" si="45"/>
        <v>0.46813827656638152</v>
      </c>
      <c r="BQ29" s="100">
        <f t="shared" si="53"/>
        <v>0.85779663296966668</v>
      </c>
      <c r="BR29" s="2">
        <f t="shared" si="12"/>
        <v>0.40593542046533265</v>
      </c>
      <c r="BS29" s="2">
        <f>+Datos1[[#This Row],[RON acumulado 12 meses]]/Datos1[[#This Row],[PIB nominal (miles de millones de G.)]]*100</f>
        <v>3.3001949655115173</v>
      </c>
      <c r="BT29" s="56">
        <v>79.038684711999991</v>
      </c>
      <c r="BU29" s="56">
        <f>SUMIFS($BT$3:$BT29,$D$3:$D29,D29)</f>
        <v>139.811062642</v>
      </c>
      <c r="BV29" s="56">
        <f t="shared" si="32"/>
        <v>1409.4969997200001</v>
      </c>
      <c r="BW29" s="100">
        <f t="shared" si="46"/>
        <v>-0.20714127710072805</v>
      </c>
      <c r="BX29" s="100">
        <f t="shared" si="47"/>
        <v>0.17305637535559848</v>
      </c>
      <c r="BY29" s="100">
        <f t="shared" si="54"/>
        <v>0.24356390022712837</v>
      </c>
      <c r="BZ29" s="56">
        <f t="shared" si="13"/>
        <v>11.367364121543456</v>
      </c>
      <c r="CA29" s="56">
        <f>Datos1[[#This Row],[Adquisición Neta de Activos no Financieros]]/Datos1[[#This Row],[PIB nominal (miles de millones de G.)]]*100</f>
        <v>0.1191493143423725</v>
      </c>
      <c r="CB29" s="56">
        <f>+Datos1[[#This Row],[ANANF acumulado por año]]/Datos1[[#This Row],[PIB nominal (miles de millones de G.)]]*100</f>
        <v>0.21076251853092437</v>
      </c>
      <c r="CC29" s="56">
        <f>+Datos1[[#This Row],[ANANF acumulado 12 meses]]/Datos1[[#This Row],[PIB nominal (miles de millones de G.)]]*100</f>
        <v>2.1247899265556951</v>
      </c>
      <c r="CD29" s="4">
        <v>59.383284277000008</v>
      </c>
      <c r="CE29" s="4">
        <f t="shared" si="14"/>
        <v>8.5405193364420864</v>
      </c>
      <c r="CF29" s="4">
        <f t="shared" si="15"/>
        <v>19.655400434999983</v>
      </c>
      <c r="CG29" s="4">
        <f t="shared" si="16"/>
        <v>2.8268447851013683</v>
      </c>
      <c r="CH29" s="56">
        <f t="shared" si="17"/>
        <v>190.24193925699993</v>
      </c>
      <c r="CI29" s="56">
        <f>SUMIFS($CH$3:$CH29,$D$3:$D29,D29)</f>
        <v>396.55412694199981</v>
      </c>
      <c r="CJ29" s="56">
        <f t="shared" si="25"/>
        <v>779.71466974599969</v>
      </c>
      <c r="CK29" s="56">
        <f>Datos1[[#This Row],[Resultado Fiscal (miles de millones de G.)]]*1000/$F$207</f>
        <v>27.360645013296168</v>
      </c>
      <c r="CL29" s="56">
        <f t="shared" si="33"/>
        <v>112.13876589935357</v>
      </c>
      <c r="CM29" s="100">
        <f t="shared" si="48"/>
        <v>0.87780309062817818</v>
      </c>
      <c r="CN29" s="100">
        <f t="shared" si="49"/>
        <v>0.61101530811397375</v>
      </c>
      <c r="CO29" s="100">
        <f t="shared" si="55"/>
        <v>16.343203544535811</v>
      </c>
      <c r="CP29" s="4">
        <f t="shared" si="18"/>
        <v>0.28678610612296013</v>
      </c>
      <c r="CQ29" s="4">
        <f t="shared" si="26"/>
        <v>1.1754050389558219</v>
      </c>
      <c r="CR29" s="73">
        <v>259.05178035400002</v>
      </c>
      <c r="CS29" s="113">
        <f>SUM(Datos1[[#This Row],[FFPP]:[MTESS]])</f>
        <v>0</v>
      </c>
      <c r="CT29" s="113"/>
      <c r="CU29" s="113"/>
      <c r="CV29" s="113"/>
      <c r="CW29" s="113"/>
      <c r="CX29" s="113"/>
      <c r="CY29" s="113"/>
      <c r="CZ29" s="113"/>
    </row>
    <row r="30" spans="1:104">
      <c r="A30">
        <v>28</v>
      </c>
      <c r="B30" s="3">
        <v>38443</v>
      </c>
      <c r="C30" s="14" t="str">
        <f t="shared" si="0"/>
        <v>Abril</v>
      </c>
      <c r="D30" s="14">
        <f t="shared" si="19"/>
        <v>2005</v>
      </c>
      <c r="E30" s="15">
        <f t="shared" si="1"/>
        <v>66335.828408449219</v>
      </c>
      <c r="F30" s="15">
        <f t="shared" si="2"/>
        <v>6177.929761904762</v>
      </c>
      <c r="G30" s="56">
        <v>745.18733948199986</v>
      </c>
      <c r="H30" s="4">
        <f t="shared" si="20"/>
        <v>1.1233557450939817</v>
      </c>
      <c r="I30" s="4">
        <f>SUMIFS($G$3:$G30,$D$3:$D30,D30)</f>
        <v>2632.8140020629999</v>
      </c>
      <c r="J30" s="2">
        <f t="shared" si="27"/>
        <v>8157.5480026639989</v>
      </c>
      <c r="K30" s="95">
        <f t="shared" si="34"/>
        <v>0.23973099349957927</v>
      </c>
      <c r="L30" s="95">
        <f t="shared" si="35"/>
        <v>0.18605765879654879</v>
      </c>
      <c r="M30" s="95">
        <f t="shared" si="50"/>
        <v>0.25914022901327249</v>
      </c>
      <c r="N30" s="4">
        <v>516.28903292799998</v>
      </c>
      <c r="O30" s="4">
        <f t="shared" si="3"/>
        <v>0.7782959002924581</v>
      </c>
      <c r="P30" s="4">
        <f>SUMIFS($N$3:$N30,$D$3:$D30,D30)</f>
        <v>1625.8270450740001</v>
      </c>
      <c r="Q30" s="4">
        <f t="shared" si="23"/>
        <v>5152.3178947890001</v>
      </c>
      <c r="R30" s="97">
        <f t="shared" si="36"/>
        <v>0.24846217791358982</v>
      </c>
      <c r="S30" s="97">
        <f t="shared" si="37"/>
        <v>0.15909073002408225</v>
      </c>
      <c r="T30" s="97">
        <f t="shared" si="51"/>
        <v>0.26775615007080344</v>
      </c>
      <c r="U30" s="4">
        <v>290.12009080600001</v>
      </c>
      <c r="V30" s="4">
        <f t="shared" si="28"/>
        <v>2118.2472285889999</v>
      </c>
      <c r="W30" s="97">
        <f t="shared" si="56"/>
        <v>0.19590504953042043</v>
      </c>
      <c r="X30" s="97">
        <f t="shared" si="38"/>
        <v>0.1598686482112861</v>
      </c>
      <c r="Y30" s="4">
        <v>219.85417791399999</v>
      </c>
      <c r="Z30" s="4">
        <f t="shared" si="29"/>
        <v>3008.1434679469999</v>
      </c>
      <c r="AA30" s="97">
        <f t="shared" si="57"/>
        <v>0.27733692651854658</v>
      </c>
      <c r="AB30" s="97">
        <f t="shared" si="39"/>
        <v>0.10756058642286481</v>
      </c>
      <c r="AC30" s="4">
        <v>40.178009926999998</v>
      </c>
      <c r="AD30" s="4">
        <f t="shared" si="4"/>
        <v>6.0567586010401749E-2</v>
      </c>
      <c r="AE30" s="4">
        <v>35.85798767</v>
      </c>
      <c r="AF30" s="4">
        <f t="shared" si="5"/>
        <v>5.4055234599938697E-2</v>
      </c>
      <c r="AG30" s="4">
        <v>152.86230895699998</v>
      </c>
      <c r="AH30" s="4">
        <f t="shared" si="6"/>
        <v>24.743290203718647</v>
      </c>
      <c r="AI30" s="4">
        <v>113.60937749099999</v>
      </c>
      <c r="AJ30" s="4">
        <f t="shared" si="7"/>
        <v>16.339330117496353</v>
      </c>
      <c r="AK30" s="101">
        <f>SUMIFS($AJ$3:$AJ30,$D$3:$D30,D30)</f>
        <v>87.051161768020791</v>
      </c>
      <c r="AL30" s="4">
        <v>3.56484347</v>
      </c>
      <c r="AM30" s="4">
        <f t="shared" si="8"/>
        <v>0.51269671183741394</v>
      </c>
      <c r="AN30" s="101">
        <f>SUMIFS($AM$3:$AM30,$D$3:$D30,D30)</f>
        <v>4.9193963212215888</v>
      </c>
      <c r="AO30" s="4">
        <f t="shared" si="21"/>
        <v>35.688087995999993</v>
      </c>
      <c r="AP30" s="56">
        <v>537.817794241</v>
      </c>
      <c r="AQ30" s="4">
        <f t="shared" si="9"/>
        <v>0.81075009861864922</v>
      </c>
      <c r="AR30" s="4">
        <f>SUMIFS($AP$3:$AP30,$D$3:$D30,D30)</f>
        <v>1889.0792672380003</v>
      </c>
      <c r="AS30" s="4">
        <f t="shared" si="30"/>
        <v>5974.1028653829999</v>
      </c>
      <c r="AT30" s="97">
        <f t="shared" si="40"/>
        <v>0.29546818239079609</v>
      </c>
      <c r="AU30" s="97">
        <f t="shared" si="41"/>
        <v>0.22252717337159522</v>
      </c>
      <c r="AV30" s="98">
        <f t="shared" si="52"/>
        <v>0.1441532777764023</v>
      </c>
      <c r="AW30" s="4">
        <v>255.79972799999999</v>
      </c>
      <c r="AX30" s="4">
        <f>SUMIFS($AW$3:$AW30,$D$3:$D30,D30)</f>
        <v>995.26850961300011</v>
      </c>
      <c r="AY30" s="4">
        <f t="shared" si="31"/>
        <v>3065.8162397509996</v>
      </c>
      <c r="AZ30" s="97">
        <f t="shared" si="42"/>
        <v>0.12859026166393095</v>
      </c>
      <c r="BA30" s="97">
        <f t="shared" si="43"/>
        <v>0.1178903234619888</v>
      </c>
      <c r="BB30" s="97">
        <f t="shared" si="58"/>
        <v>0.10508695017222491</v>
      </c>
      <c r="BC30" s="4">
        <v>189.82239467900001</v>
      </c>
      <c r="BD30" s="4">
        <f t="shared" si="22"/>
        <v>65.977333320999975</v>
      </c>
      <c r="BE30" s="4">
        <v>37.699127971999999</v>
      </c>
      <c r="BF30" s="4">
        <v>77.718722263999993</v>
      </c>
      <c r="BG30" s="4">
        <f t="shared" si="10"/>
        <v>11.17752678014724</v>
      </c>
      <c r="BH30" s="4">
        <f>Datos1[[#This Row],[Intereses]]/Datos1[[#This Row],[PIB nominal (miles de millones de G.)]]*100</f>
        <v>0.11715949605010274</v>
      </c>
      <c r="BI30" s="4">
        <v>67.55992336700001</v>
      </c>
      <c r="BJ30" s="4">
        <v>87.750503280000004</v>
      </c>
      <c r="BK30" s="4">
        <v>11.289789358</v>
      </c>
      <c r="BL30" s="56">
        <f t="shared" si="11"/>
        <v>207.36954524099986</v>
      </c>
      <c r="BM30" s="56">
        <f>SUMIFS($BL$3:$BL30,$D$3:$D30,D30)</f>
        <v>743.73473482499969</v>
      </c>
      <c r="BN30" s="56">
        <f t="shared" si="24"/>
        <v>2183.4451372809999</v>
      </c>
      <c r="BO30" s="100">
        <f t="shared" si="44"/>
        <v>-2.705563626130969E-2</v>
      </c>
      <c r="BP30" s="100">
        <f t="shared" si="45"/>
        <v>0.28568606275150921</v>
      </c>
      <c r="BQ30" s="100">
        <f t="shared" si="53"/>
        <v>0.7366876110573195</v>
      </c>
      <c r="BR30" s="2">
        <f t="shared" si="12"/>
        <v>0.31260564647533234</v>
      </c>
      <c r="BS30" s="2">
        <f>+Datos1[[#This Row],[RON acumulado 12 meses]]/Datos1[[#This Row],[PIB nominal (miles de millones de G.)]]*100</f>
        <v>3.2915020278888893</v>
      </c>
      <c r="BT30" s="56">
        <v>67.601833455999994</v>
      </c>
      <c r="BU30" s="56">
        <f>SUMIFS($BT$3:$BT30,$D$3:$D30,D30)</f>
        <v>207.41289609799998</v>
      </c>
      <c r="BV30" s="56">
        <f t="shared" si="32"/>
        <v>1398.4930265629998</v>
      </c>
      <c r="BW30" s="100">
        <f t="shared" si="46"/>
        <v>-0.13998931670755388</v>
      </c>
      <c r="BX30" s="100">
        <f t="shared" si="47"/>
        <v>4.8646279417127847E-2</v>
      </c>
      <c r="BY30" s="100">
        <f t="shared" si="54"/>
        <v>0.23819908735556972</v>
      </c>
      <c r="BZ30" s="56">
        <f t="shared" si="13"/>
        <v>9.722513209555224</v>
      </c>
      <c r="CA30" s="56">
        <f>Datos1[[#This Row],[Adquisición Neta de Activos no Financieros]]/Datos1[[#This Row],[PIB nominal (miles de millones de G.)]]*100</f>
        <v>0.10190847853705182</v>
      </c>
      <c r="CB30" s="56">
        <f>+Datos1[[#This Row],[ANANF acumulado por año]]/Datos1[[#This Row],[PIB nominal (miles de millones de G.)]]*100</f>
        <v>0.31267099706797619</v>
      </c>
      <c r="CC30" s="56">
        <f>+Datos1[[#This Row],[ANANF acumulado 12 meses]]/Datos1[[#This Row],[PIB nominal (miles de millones de G.)]]*100</f>
        <v>2.1082016462537658</v>
      </c>
      <c r="CD30" s="4">
        <v>28.001256311999999</v>
      </c>
      <c r="CE30" s="4">
        <f t="shared" si="14"/>
        <v>4.0271479405178576</v>
      </c>
      <c r="CF30" s="4">
        <f t="shared" si="15"/>
        <v>39.600577143999999</v>
      </c>
      <c r="CG30" s="4">
        <f t="shared" si="16"/>
        <v>5.6953652690373664</v>
      </c>
      <c r="CH30" s="56">
        <f t="shared" si="17"/>
        <v>139.76771178499985</v>
      </c>
      <c r="CI30" s="56">
        <f>SUMIFS($CH$3:$CH30,$D$3:$D30,D30)</f>
        <v>536.32183872699966</v>
      </c>
      <c r="CJ30" s="56">
        <f t="shared" si="25"/>
        <v>784.95211071799952</v>
      </c>
      <c r="CK30" s="56">
        <f>Datos1[[#This Row],[Resultado Fiscal (miles de millones de G.)]]*1000/$F$207</f>
        <v>20.101428535713179</v>
      </c>
      <c r="CL30" s="56">
        <f t="shared" si="33"/>
        <v>112.89201601745394</v>
      </c>
      <c r="CM30" s="100">
        <f t="shared" si="48"/>
        <v>3.8931319623075167E-2</v>
      </c>
      <c r="CN30" s="100">
        <f t="shared" si="49"/>
        <v>0.40884493087139795</v>
      </c>
      <c r="CO30" s="100">
        <f t="shared" si="55"/>
        <v>5.1425356541675971</v>
      </c>
      <c r="CP30" s="4">
        <f t="shared" si="18"/>
        <v>0.21069716793828053</v>
      </c>
      <c r="CQ30" s="4">
        <f t="shared" si="26"/>
        <v>1.1833003816351224</v>
      </c>
      <c r="CR30" s="73">
        <v>270.16110537100002</v>
      </c>
      <c r="CS30" s="113">
        <f>SUM(Datos1[[#This Row],[FFPP]:[MTESS]])</f>
        <v>0</v>
      </c>
      <c r="CT30" s="113"/>
      <c r="CU30" s="113"/>
      <c r="CV30" s="113"/>
      <c r="CW30" s="113"/>
      <c r="CX30" s="113"/>
      <c r="CY30" s="113"/>
      <c r="CZ30" s="113"/>
    </row>
    <row r="31" spans="1:104">
      <c r="A31">
        <v>29</v>
      </c>
      <c r="B31" s="3">
        <v>38473</v>
      </c>
      <c r="C31" s="14" t="str">
        <f t="shared" si="0"/>
        <v>Mayo</v>
      </c>
      <c r="D31" s="14">
        <f t="shared" si="19"/>
        <v>2005</v>
      </c>
      <c r="E31" s="15">
        <f t="shared" si="1"/>
        <v>66335.828408449219</v>
      </c>
      <c r="F31" s="15">
        <f t="shared" si="2"/>
        <v>6177.929761904762</v>
      </c>
      <c r="G31" s="56">
        <v>681.51779380699998</v>
      </c>
      <c r="H31" s="4">
        <f t="shared" si="20"/>
        <v>1.0273751156173017</v>
      </c>
      <c r="I31" s="4">
        <f>SUMIFS($G$3:$G31,$D$3:$D31,D31)</f>
        <v>3314.33179587</v>
      </c>
      <c r="J31" s="2">
        <f t="shared" si="27"/>
        <v>8095.4353085399989</v>
      </c>
      <c r="K31" s="95">
        <f t="shared" si="34"/>
        <v>0.15589546983530456</v>
      </c>
      <c r="L31" s="95">
        <f t="shared" si="35"/>
        <v>-8.3526287762644036E-2</v>
      </c>
      <c r="M31" s="95">
        <f t="shared" si="50"/>
        <v>0.19665687677899002</v>
      </c>
      <c r="N31" s="4">
        <v>500.46098781499995</v>
      </c>
      <c r="O31" s="4">
        <f t="shared" si="3"/>
        <v>0.75443542324294854</v>
      </c>
      <c r="P31" s="4">
        <f>SUMIFS($N$3:$N31,$D$3:$D31,D31)</f>
        <v>2126.2880328890001</v>
      </c>
      <c r="Q31" s="4">
        <f t="shared" si="23"/>
        <v>5170.3759388580002</v>
      </c>
      <c r="R31" s="97">
        <f t="shared" si="36"/>
        <v>3.7433527931595822E-2</v>
      </c>
      <c r="S31" s="97">
        <f t="shared" si="37"/>
        <v>0.12795790220574532</v>
      </c>
      <c r="T31" s="97">
        <f t="shared" si="51"/>
        <v>0.22025916112319877</v>
      </c>
      <c r="U31" s="4">
        <v>261.26490881500001</v>
      </c>
      <c r="V31" s="4">
        <f t="shared" si="28"/>
        <v>2174.04835456</v>
      </c>
      <c r="W31" s="97">
        <f t="shared" si="56"/>
        <v>0.19370772220420007</v>
      </c>
      <c r="X31" s="97">
        <f t="shared" si="38"/>
        <v>0.27158619002633388</v>
      </c>
      <c r="Y31" s="4">
        <v>251.12486819400004</v>
      </c>
      <c r="Z31" s="4">
        <f t="shared" si="29"/>
        <v>3011.1802692500005</v>
      </c>
      <c r="AA31" s="97">
        <f t="shared" si="57"/>
        <v>0.22744850612687495</v>
      </c>
      <c r="AB31" s="97">
        <f t="shared" si="39"/>
        <v>1.2240819726062613E-2</v>
      </c>
      <c r="AC31" s="4">
        <v>42.554823310000003</v>
      </c>
      <c r="AD31" s="4">
        <f t="shared" si="4"/>
        <v>6.4150586991960717E-2</v>
      </c>
      <c r="AE31" s="4">
        <v>24.777419986000002</v>
      </c>
      <c r="AF31" s="4">
        <f t="shared" si="5"/>
        <v>3.735148950494465E-2</v>
      </c>
      <c r="AG31" s="4">
        <v>113.72456269599999</v>
      </c>
      <c r="AH31" s="4">
        <f t="shared" si="6"/>
        <v>18.408199361097424</v>
      </c>
      <c r="AI31" s="4">
        <v>74.453888712999998</v>
      </c>
      <c r="AJ31" s="4">
        <f t="shared" si="7"/>
        <v>10.707977572620837</v>
      </c>
      <c r="AK31" s="101">
        <f>SUMIFS($AJ$3:$AJ31,$D$3:$D31,D31)</f>
        <v>97.759139340641624</v>
      </c>
      <c r="AL31" s="4">
        <v>3.1979194999999998</v>
      </c>
      <c r="AM31" s="4">
        <f t="shared" si="8"/>
        <v>0.45992561136793669</v>
      </c>
      <c r="AN31" s="101">
        <f>SUMIFS($AM$3:$AM31,$D$3:$D31,D31)</f>
        <v>5.3793219325895256</v>
      </c>
      <c r="AO31" s="4">
        <f t="shared" si="21"/>
        <v>36.072754482999997</v>
      </c>
      <c r="AP31" s="56">
        <v>520.18586401100004</v>
      </c>
      <c r="AQ31" s="4">
        <f t="shared" si="9"/>
        <v>0.78417029905477709</v>
      </c>
      <c r="AR31" s="4">
        <f>SUMIFS($AP$3:$AP31,$D$3:$D31,D31)</f>
        <v>2409.2651312490002</v>
      </c>
      <c r="AS31" s="4">
        <f t="shared" si="30"/>
        <v>6072.6050341210002</v>
      </c>
      <c r="AT31" s="97">
        <f t="shared" si="40"/>
        <v>0.23359254778449379</v>
      </c>
      <c r="AU31" s="97">
        <f t="shared" si="41"/>
        <v>0.22489946880898781</v>
      </c>
      <c r="AV31" s="98">
        <f t="shared" si="52"/>
        <v>0.15740165072262413</v>
      </c>
      <c r="AW31" s="4">
        <v>250.41379069800001</v>
      </c>
      <c r="AX31" s="4">
        <f>SUMIFS($AW$3:$AW31,$D$3:$D31,D31)</f>
        <v>1245.6823003110001</v>
      </c>
      <c r="AY31" s="4">
        <f t="shared" si="31"/>
        <v>3089.9679125239995</v>
      </c>
      <c r="AZ31" s="97">
        <f t="shared" si="42"/>
        <v>0.10674200787338917</v>
      </c>
      <c r="BA31" s="97">
        <f t="shared" si="43"/>
        <v>0.11563122858288177</v>
      </c>
      <c r="BB31" s="97">
        <f t="shared" si="58"/>
        <v>0.10645046387038226</v>
      </c>
      <c r="BC31" s="4">
        <v>191.70231273499999</v>
      </c>
      <c r="BD31" s="4">
        <f t="shared" si="22"/>
        <v>58.711477963000021</v>
      </c>
      <c r="BE31" s="4">
        <v>67.190202499999998</v>
      </c>
      <c r="BF31" s="4">
        <v>25.814721405</v>
      </c>
      <c r="BG31" s="4">
        <f t="shared" si="10"/>
        <v>3.712679923458857</v>
      </c>
      <c r="BH31" s="4">
        <f>Datos1[[#This Row],[Intereses]]/Datos1[[#This Row],[PIB nominal (miles de millones de G.)]]*100</f>
        <v>3.8915201670583148E-2</v>
      </c>
      <c r="BI31" s="4">
        <v>74.641495791000011</v>
      </c>
      <c r="BJ31" s="4">
        <v>88.499035654000011</v>
      </c>
      <c r="BK31" s="4">
        <v>13.626617962999999</v>
      </c>
      <c r="BL31" s="56">
        <f t="shared" si="11"/>
        <v>161.33192979599994</v>
      </c>
      <c r="BM31" s="56">
        <f>SUMIFS($BL$3:$BL31,$D$3:$D31,D31)</f>
        <v>905.06666462099963</v>
      </c>
      <c r="BN31" s="56">
        <f t="shared" si="24"/>
        <v>2022.8302744189994</v>
      </c>
      <c r="BO31" s="100">
        <f t="shared" si="44"/>
        <v>-0.49888635800953385</v>
      </c>
      <c r="BP31" s="100">
        <f t="shared" si="45"/>
        <v>5.1607308878010016E-3</v>
      </c>
      <c r="BQ31" s="100">
        <f t="shared" si="53"/>
        <v>0.33231155312794747</v>
      </c>
      <c r="BR31" s="2">
        <f t="shared" si="12"/>
        <v>0.24320481656252449</v>
      </c>
      <c r="BS31" s="2">
        <f>+Datos1[[#This Row],[RON acumulado 12 meses]]/Datos1[[#This Row],[PIB nominal (miles de millones de G.)]]*100</f>
        <v>3.0493781760948817</v>
      </c>
      <c r="BT31" s="56">
        <v>92.035440808000004</v>
      </c>
      <c r="BU31" s="56">
        <f>SUMIFS($BT$3:$BT31,$D$3:$D31,D31)</f>
        <v>299.44833690600001</v>
      </c>
      <c r="BV31" s="56">
        <f t="shared" si="32"/>
        <v>1407.0783132940001</v>
      </c>
      <c r="BW31" s="100">
        <f t="shared" si="46"/>
        <v>0.10287921964863345</v>
      </c>
      <c r="BX31" s="100">
        <f t="shared" si="47"/>
        <v>6.4738325764444049E-2</v>
      </c>
      <c r="BY31" s="100">
        <f t="shared" si="54"/>
        <v>0.24940769221981163</v>
      </c>
      <c r="BZ31" s="56">
        <f t="shared" si="13"/>
        <v>13.236560951936704</v>
      </c>
      <c r="CA31" s="56">
        <f>Datos1[[#This Row],[Adquisición Neta de Activos no Financieros]]/Datos1[[#This Row],[PIB nominal (miles de millones de G.)]]*100</f>
        <v>0.13874167703357937</v>
      </c>
      <c r="CB31" s="56">
        <f>+Datos1[[#This Row],[ANANF acumulado por año]]/Datos1[[#This Row],[PIB nominal (miles de millones de G.)]]*100</f>
        <v>0.45141267410155556</v>
      </c>
      <c r="CC31" s="56">
        <f>+Datos1[[#This Row],[ANANF acumulado 12 meses]]/Datos1[[#This Row],[PIB nominal (miles de millones de G.)]]*100</f>
        <v>2.1211438027579979</v>
      </c>
      <c r="CD31" s="4">
        <v>52.285182135999989</v>
      </c>
      <c r="CE31" s="4">
        <f t="shared" si="14"/>
        <v>7.5196684467459916</v>
      </c>
      <c r="CF31" s="4">
        <f t="shared" si="15"/>
        <v>39.750258672000015</v>
      </c>
      <c r="CG31" s="4">
        <f t="shared" si="16"/>
        <v>5.7168925051907147</v>
      </c>
      <c r="CH31" s="56">
        <f t="shared" si="17"/>
        <v>69.296488987999936</v>
      </c>
      <c r="CI31" s="56">
        <f>SUMIFS($CH$3:$CH31,$D$3:$D31,D31)</f>
        <v>605.61832771499962</v>
      </c>
      <c r="CJ31" s="56">
        <f t="shared" si="25"/>
        <v>615.75196112499941</v>
      </c>
      <c r="CK31" s="56">
        <f>Datos1[[#This Row],[Resultado Fiscal (miles de millones de G.)]]*1000/$F$207</f>
        <v>9.9662390074100884</v>
      </c>
      <c r="CL31" s="56">
        <f t="shared" si="33"/>
        <v>88.557606647516081</v>
      </c>
      <c r="CM31" s="100">
        <f t="shared" si="48"/>
        <v>-0.70944458840049895</v>
      </c>
      <c r="CN31" s="100">
        <f t="shared" si="49"/>
        <v>-2.1900406981784304E-2</v>
      </c>
      <c r="CO31" s="100">
        <f t="shared" si="55"/>
        <v>0.57043555077278074</v>
      </c>
      <c r="CP31" s="4">
        <f t="shared" si="18"/>
        <v>0.10446313952894515</v>
      </c>
      <c r="CQ31" s="4">
        <f t="shared" si="26"/>
        <v>0.92823437333688419</v>
      </c>
      <c r="CR31" s="73">
        <v>265.99469850100002</v>
      </c>
      <c r="CS31" s="113">
        <f>SUM(Datos1[[#This Row],[FFPP]:[MTESS]])</f>
        <v>0</v>
      </c>
      <c r="CT31" s="113"/>
      <c r="CU31" s="113"/>
      <c r="CV31" s="113"/>
      <c r="CW31" s="113"/>
      <c r="CX31" s="113"/>
      <c r="CY31" s="113"/>
      <c r="CZ31" s="113"/>
    </row>
    <row r="32" spans="1:104">
      <c r="A32">
        <v>30</v>
      </c>
      <c r="B32" s="3">
        <v>38504</v>
      </c>
      <c r="C32" s="14" t="str">
        <f t="shared" si="0"/>
        <v>Junio</v>
      </c>
      <c r="D32" s="14">
        <f t="shared" si="19"/>
        <v>2005</v>
      </c>
      <c r="E32" s="15">
        <f t="shared" si="1"/>
        <v>66335.828408449219</v>
      </c>
      <c r="F32" s="15">
        <f t="shared" si="2"/>
        <v>6177.929761904762</v>
      </c>
      <c r="G32" s="56">
        <v>690.54406846899997</v>
      </c>
      <c r="H32" s="4">
        <f t="shared" si="20"/>
        <v>1.0409820530424627</v>
      </c>
      <c r="I32" s="4">
        <f>SUMIFS($G$3:$G32,$D$3:$D32,D32)</f>
        <v>4004.8758643390001</v>
      </c>
      <c r="J32" s="2">
        <f t="shared" si="27"/>
        <v>8191.220567162999</v>
      </c>
      <c r="K32" s="95">
        <f t="shared" si="34"/>
        <v>0.15678078970841636</v>
      </c>
      <c r="L32" s="95">
        <f t="shared" si="35"/>
        <v>0.16104891098259033</v>
      </c>
      <c r="M32" s="95">
        <f t="shared" si="50"/>
        <v>0.17694800889302509</v>
      </c>
      <c r="N32" s="4">
        <v>412.19238995699999</v>
      </c>
      <c r="O32" s="4">
        <f t="shared" si="3"/>
        <v>0.62137219033281699</v>
      </c>
      <c r="P32" s="4">
        <f>SUMIFS($N$3:$N32,$D$3:$D32,D32)</f>
        <v>2538.4804228460002</v>
      </c>
      <c r="Q32" s="4">
        <f t="shared" si="23"/>
        <v>5179.9727841150006</v>
      </c>
      <c r="R32" s="97">
        <f t="shared" si="36"/>
        <v>2.3837435320232192E-2</v>
      </c>
      <c r="S32" s="97">
        <f t="shared" si="37"/>
        <v>0.10963428876079351</v>
      </c>
      <c r="T32" s="97">
        <f t="shared" si="51"/>
        <v>0.17907212849777587</v>
      </c>
      <c r="U32" s="4">
        <v>169.07634220499997</v>
      </c>
      <c r="V32" s="4">
        <f t="shared" si="28"/>
        <v>2191.3157283420001</v>
      </c>
      <c r="W32" s="97">
        <f t="shared" si="56"/>
        <v>0.17610788337130701</v>
      </c>
      <c r="X32" s="97">
        <f t="shared" si="38"/>
        <v>0.11374409536784569</v>
      </c>
      <c r="Y32" s="4">
        <v>237.64393475100002</v>
      </c>
      <c r="Z32" s="4">
        <f t="shared" si="29"/>
        <v>2995.5127139330002</v>
      </c>
      <c r="AA32" s="97">
        <f t="shared" si="57"/>
        <v>0.17140262951665086</v>
      </c>
      <c r="AB32" s="97">
        <f t="shared" si="39"/>
        <v>-6.1850946093262804E-2</v>
      </c>
      <c r="AC32" s="4">
        <v>41.361310005</v>
      </c>
      <c r="AD32" s="4">
        <f t="shared" si="4"/>
        <v>6.2351388378428386E-2</v>
      </c>
      <c r="AE32" s="4">
        <v>12.586225810999998</v>
      </c>
      <c r="AF32" s="4">
        <f t="shared" si="5"/>
        <v>1.8973496092493037E-2</v>
      </c>
      <c r="AG32" s="4">
        <v>224.40414269600001</v>
      </c>
      <c r="AH32" s="4">
        <f t="shared" si="6"/>
        <v>36.323517965476569</v>
      </c>
      <c r="AI32" s="4">
        <v>151.94787232500002</v>
      </c>
      <c r="AJ32" s="4">
        <f t="shared" si="7"/>
        <v>21.853182381586787</v>
      </c>
      <c r="AK32" s="101">
        <f>SUMIFS($AJ$3:$AJ32,$D$3:$D32,D32)</f>
        <v>119.61232172222842</v>
      </c>
      <c r="AL32" s="4">
        <v>17.355477457999999</v>
      </c>
      <c r="AM32" s="4">
        <f t="shared" si="8"/>
        <v>2.4960692664255912</v>
      </c>
      <c r="AN32" s="101">
        <f>SUMIFS($AM$3:$AM32,$D$3:$D32,D32)</f>
        <v>7.8753911990151169</v>
      </c>
      <c r="AO32" s="4">
        <f t="shared" si="21"/>
        <v>55.100792912999992</v>
      </c>
      <c r="AP32" s="56">
        <v>520.17984901700004</v>
      </c>
      <c r="AQ32" s="4">
        <f t="shared" si="9"/>
        <v>0.78416123156569273</v>
      </c>
      <c r="AR32" s="4">
        <f>SUMIFS($AP$3:$AP32,$D$3:$D32,D32)</f>
        <v>2929.4449802660001</v>
      </c>
      <c r="AS32" s="4">
        <f t="shared" si="30"/>
        <v>6213.0983981520003</v>
      </c>
      <c r="AT32" s="97">
        <f t="shared" si="40"/>
        <v>0.37002466399661382</v>
      </c>
      <c r="AU32" s="97">
        <f t="shared" si="41"/>
        <v>0.24838118443113744</v>
      </c>
      <c r="AV32" s="98">
        <f t="shared" si="52"/>
        <v>0.19745860586973318</v>
      </c>
      <c r="AW32" s="4">
        <v>251.49236445800003</v>
      </c>
      <c r="AX32" s="4">
        <f>SUMIFS($AW$3:$AW32,$D$3:$D32,D32)</f>
        <v>1497.1746647690002</v>
      </c>
      <c r="AY32" s="4">
        <f t="shared" si="31"/>
        <v>3111.9810633349998</v>
      </c>
      <c r="AZ32" s="97">
        <f t="shared" si="42"/>
        <v>9.5926556750634884E-2</v>
      </c>
      <c r="BA32" s="97">
        <f t="shared" si="43"/>
        <v>0.11227191102483314</v>
      </c>
      <c r="BB32" s="97">
        <f t="shared" si="58"/>
        <v>0.10833762706316485</v>
      </c>
      <c r="BC32" s="4">
        <v>192.23984078699999</v>
      </c>
      <c r="BD32" s="4">
        <f t="shared" si="22"/>
        <v>59.252523671000034</v>
      </c>
      <c r="BE32" s="4">
        <v>42.949616264000007</v>
      </c>
      <c r="BF32" s="4">
        <v>39.678707319000004</v>
      </c>
      <c r="BG32" s="4">
        <f t="shared" si="10"/>
        <v>5.7066019710566511</v>
      </c>
      <c r="BH32" s="4">
        <f>Datos1[[#This Row],[Intereses]]/Datos1[[#This Row],[PIB nominal (miles de millones de G.)]]*100</f>
        <v>5.9814896822704203E-2</v>
      </c>
      <c r="BI32" s="4">
        <v>75.794565610999996</v>
      </c>
      <c r="BJ32" s="4">
        <v>95.032492139999988</v>
      </c>
      <c r="BK32" s="4">
        <v>15.232103224999999</v>
      </c>
      <c r="BL32" s="56">
        <f t="shared" si="11"/>
        <v>170.36421945199993</v>
      </c>
      <c r="BM32" s="56">
        <f>SUMIFS($BL$3:$BL32,$D$3:$D32,D32)</f>
        <v>1075.4308840729996</v>
      </c>
      <c r="BN32" s="56">
        <f t="shared" si="24"/>
        <v>1978.1221690109996</v>
      </c>
      <c r="BO32" s="100">
        <f t="shared" si="44"/>
        <v>-0.20787474835315312</v>
      </c>
      <c r="BP32" s="100">
        <f t="shared" si="45"/>
        <v>-3.5913547565796455E-2</v>
      </c>
      <c r="BQ32" s="100">
        <f t="shared" si="53"/>
        <v>0.11686212208570157</v>
      </c>
      <c r="BR32" s="2">
        <f t="shared" si="12"/>
        <v>0.2568208214767701</v>
      </c>
      <c r="BS32" s="2">
        <f>+Datos1[[#This Row],[RON acumulado 12 meses]]/Datos1[[#This Row],[PIB nominal (miles de millones de G.)]]*100</f>
        <v>2.9819815572832216</v>
      </c>
      <c r="BT32" s="56">
        <v>97.766598755000018</v>
      </c>
      <c r="BU32" s="56">
        <f>SUMIFS($BT$3:$BT32,$D$3:$D32,D32)</f>
        <v>397.21493566100003</v>
      </c>
      <c r="BV32" s="56">
        <f t="shared" si="32"/>
        <v>1435.9113904699998</v>
      </c>
      <c r="BW32" s="100">
        <f t="shared" si="46"/>
        <v>0.41827367172815033</v>
      </c>
      <c r="BX32" s="100">
        <f t="shared" si="47"/>
        <v>0.13433339207770434</v>
      </c>
      <c r="BY32" s="100">
        <f t="shared" si="54"/>
        <v>0.31420078164424159</v>
      </c>
      <c r="BZ32" s="56">
        <f t="shared" si="13"/>
        <v>14.06081757334953</v>
      </c>
      <c r="CA32" s="56">
        <f>Datos1[[#This Row],[Adquisición Neta de Activos no Financieros]]/Datos1[[#This Row],[PIB nominal (miles de millones de G.)]]*100</f>
        <v>0.14738128866503677</v>
      </c>
      <c r="CB32" s="56">
        <f>+Datos1[[#This Row],[ANANF acumulado por año]]/Datos1[[#This Row],[PIB nominal (miles de millones de G.)]]*100</f>
        <v>0.59879396276659236</v>
      </c>
      <c r="CC32" s="56">
        <f>+Datos1[[#This Row],[ANANF acumulado 12 meses]]/Datos1[[#This Row],[PIB nominal (miles de millones de G.)]]*100</f>
        <v>2.1646091183616054</v>
      </c>
      <c r="CD32" s="4">
        <v>50.072099220999995</v>
      </c>
      <c r="CE32" s="4">
        <f t="shared" si="14"/>
        <v>7.2013822882953784</v>
      </c>
      <c r="CF32" s="4">
        <f t="shared" si="15"/>
        <v>47.694499534000023</v>
      </c>
      <c r="CG32" s="4">
        <f t="shared" si="16"/>
        <v>6.8594352850541531</v>
      </c>
      <c r="CH32" s="56">
        <f t="shared" si="17"/>
        <v>72.597620696999911</v>
      </c>
      <c r="CI32" s="56">
        <f>SUMIFS($CH$3:$CH32,$D$3:$D32,D32)</f>
        <v>678.21594841199953</v>
      </c>
      <c r="CJ32" s="56">
        <f t="shared" si="25"/>
        <v>542.21077854099929</v>
      </c>
      <c r="CK32" s="56">
        <f>Datos1[[#This Row],[Resultado Fiscal (miles de millones de G.)]]*1000/$F$207</f>
        <v>10.441008625428271</v>
      </c>
      <c r="CL32" s="56">
        <f t="shared" si="33"/>
        <v>77.980894706934933</v>
      </c>
      <c r="CM32" s="100">
        <f t="shared" si="48"/>
        <v>-0.50322830714983313</v>
      </c>
      <c r="CN32" s="100">
        <f t="shared" si="49"/>
        <v>-0.11381087949401225</v>
      </c>
      <c r="CO32" s="100">
        <f t="shared" si="55"/>
        <v>-0.20090468549648621</v>
      </c>
      <c r="CP32" s="4">
        <f t="shared" si="18"/>
        <v>0.10943953281173334</v>
      </c>
      <c r="CQ32" s="4">
        <f t="shared" si="26"/>
        <v>0.8173724389216156</v>
      </c>
      <c r="CR32" s="73">
        <v>264.480148004</v>
      </c>
      <c r="CS32" s="113">
        <f>SUM(Datos1[[#This Row],[FFPP]:[MTESS]])</f>
        <v>0</v>
      </c>
      <c r="CT32" s="113"/>
      <c r="CU32" s="113"/>
      <c r="CV32" s="113"/>
      <c r="CW32" s="113"/>
      <c r="CX32" s="113"/>
      <c r="CY32" s="113"/>
      <c r="CZ32" s="113"/>
    </row>
    <row r="33" spans="1:104">
      <c r="A33">
        <v>31</v>
      </c>
      <c r="B33" s="3">
        <v>38534</v>
      </c>
      <c r="C33" s="14" t="str">
        <f t="shared" si="0"/>
        <v>Julio</v>
      </c>
      <c r="D33" s="14">
        <f t="shared" si="19"/>
        <v>2005</v>
      </c>
      <c r="E33" s="15">
        <f t="shared" si="1"/>
        <v>66335.828408449219</v>
      </c>
      <c r="F33" s="15">
        <f t="shared" si="2"/>
        <v>6177.929761904762</v>
      </c>
      <c r="G33" s="56">
        <v>707.00637245300004</v>
      </c>
      <c r="H33" s="4">
        <f t="shared" si="20"/>
        <v>1.0657986632800509</v>
      </c>
      <c r="I33" s="4">
        <f>SUMIFS($G$3:$G33,$D$3:$D33,D33)</f>
        <v>4711.8822367920002</v>
      </c>
      <c r="J33" s="2">
        <f t="shared" si="27"/>
        <v>8164.2239137569986</v>
      </c>
      <c r="K33" s="95">
        <f t="shared" si="34"/>
        <v>0.12292207296138624</v>
      </c>
      <c r="L33" s="95">
        <f t="shared" si="35"/>
        <v>-3.6780030129175301E-2</v>
      </c>
      <c r="M33" s="95">
        <f t="shared" si="50"/>
        <v>0.13123794836164659</v>
      </c>
      <c r="N33" s="4">
        <v>522.20681527900001</v>
      </c>
      <c r="O33" s="4">
        <f t="shared" si="3"/>
        <v>0.78721684466442321</v>
      </c>
      <c r="P33" s="4">
        <f>SUMIFS($N$3:$N33,$D$3:$D33,D33)</f>
        <v>3060.6872381250005</v>
      </c>
      <c r="Q33" s="4">
        <f t="shared" si="23"/>
        <v>5256.2274170970004</v>
      </c>
      <c r="R33" s="97">
        <f t="shared" si="36"/>
        <v>0.17099284633888212</v>
      </c>
      <c r="S33" s="97">
        <f t="shared" si="37"/>
        <v>0.11964406722133614</v>
      </c>
      <c r="T33" s="97">
        <f t="shared" si="51"/>
        <v>0.16426304084108145</v>
      </c>
      <c r="U33" s="4">
        <v>264.324092979</v>
      </c>
      <c r="V33" s="4">
        <f t="shared" si="28"/>
        <v>2257.373204645</v>
      </c>
      <c r="W33" s="97">
        <f t="shared" si="56"/>
        <v>0.18174427004384874</v>
      </c>
      <c r="X33" s="97">
        <f t="shared" si="38"/>
        <v>0.33317498129777801</v>
      </c>
      <c r="Y33" s="4">
        <v>250.687178104</v>
      </c>
      <c r="Z33" s="4">
        <f t="shared" si="29"/>
        <v>2986.316557696</v>
      </c>
      <c r="AA33" s="97">
        <f t="shared" si="57"/>
        <v>0.1323227114756631</v>
      </c>
      <c r="AB33" s="97">
        <f t="shared" si="39"/>
        <v>-3.5385709746718508E-2</v>
      </c>
      <c r="AC33" s="4">
        <v>0</v>
      </c>
      <c r="AD33" s="4">
        <f t="shared" si="4"/>
        <v>0</v>
      </c>
      <c r="AE33" s="4">
        <v>19.394057163999999</v>
      </c>
      <c r="AF33" s="4">
        <f t="shared" si="5"/>
        <v>2.9236172411362803E-2</v>
      </c>
      <c r="AG33" s="4">
        <v>165.40550001000003</v>
      </c>
      <c r="AH33" s="4">
        <f t="shared" si="6"/>
        <v>26.773612906696865</v>
      </c>
      <c r="AI33" s="4">
        <v>129.545892528</v>
      </c>
      <c r="AJ33" s="4">
        <f t="shared" si="7"/>
        <v>18.631323840748781</v>
      </c>
      <c r="AK33" s="101">
        <f>SUMIFS($AJ$3:$AJ33,$D$3:$D33,D33)</f>
        <v>138.24364556297721</v>
      </c>
      <c r="AL33" s="4">
        <v>0</v>
      </c>
      <c r="AM33" s="4">
        <f t="shared" si="8"/>
        <v>0</v>
      </c>
      <c r="AN33" s="101">
        <f>SUMIFS($AM$3:$AM33,$D$3:$D33,D33)</f>
        <v>7.8753911990151169</v>
      </c>
      <c r="AO33" s="4">
        <f t="shared" si="21"/>
        <v>35.85960748200003</v>
      </c>
      <c r="AP33" s="56">
        <v>607.78890303100002</v>
      </c>
      <c r="AQ33" s="4">
        <f t="shared" si="9"/>
        <v>0.91623021467172294</v>
      </c>
      <c r="AR33" s="4">
        <f>SUMIFS($AP$3:$AP33,$D$3:$D33,D33)</f>
        <v>3537.2338832969999</v>
      </c>
      <c r="AS33" s="4">
        <f t="shared" si="30"/>
        <v>6295.2298763330009</v>
      </c>
      <c r="AT33" s="97">
        <f t="shared" si="40"/>
        <v>0.15624525460557659</v>
      </c>
      <c r="AU33" s="97">
        <f t="shared" si="41"/>
        <v>0.23151917882532858</v>
      </c>
      <c r="AV33" s="98">
        <f t="shared" si="52"/>
        <v>0.19658514887445544</v>
      </c>
      <c r="AW33" s="4">
        <v>256.00452846399997</v>
      </c>
      <c r="AX33" s="4">
        <f>SUMIFS($AW$3:$AW33,$D$3:$D33,D33)</f>
        <v>1753.1791932330002</v>
      </c>
      <c r="AY33" s="4">
        <f t="shared" si="31"/>
        <v>3140.3451696009997</v>
      </c>
      <c r="AZ33" s="97">
        <f t="shared" si="42"/>
        <v>0.12460048172520555</v>
      </c>
      <c r="BA33" s="97">
        <f t="shared" si="43"/>
        <v>0.11405528550680799</v>
      </c>
      <c r="BB33" s="97">
        <f t="shared" si="58"/>
        <v>0.11153864173379668</v>
      </c>
      <c r="BC33" s="4">
        <v>193.289934311</v>
      </c>
      <c r="BD33" s="4">
        <f t="shared" si="22"/>
        <v>62.714594152999979</v>
      </c>
      <c r="BE33" s="4">
        <v>43.862226305999997</v>
      </c>
      <c r="BF33" s="4">
        <v>81.668545637999998</v>
      </c>
      <c r="BG33" s="4">
        <f t="shared" si="10"/>
        <v>11.745591401561981</v>
      </c>
      <c r="BH33" s="4">
        <f>Datos1[[#This Row],[Intereses]]/Datos1[[#This Row],[PIB nominal (miles de millones de G.)]]*100</f>
        <v>0.12311377968349581</v>
      </c>
      <c r="BI33" s="4">
        <v>95.439457969000003</v>
      </c>
      <c r="BJ33" s="4">
        <v>122.77013897299999</v>
      </c>
      <c r="BK33" s="4">
        <v>8.0440056809999998</v>
      </c>
      <c r="BL33" s="56">
        <f t="shared" si="11"/>
        <v>99.217469422000022</v>
      </c>
      <c r="BM33" s="56">
        <f>SUMIFS($BL$3:$BL33,$D$3:$D33,D33)</f>
        <v>1174.6483534949996</v>
      </c>
      <c r="BN33" s="56">
        <f t="shared" si="24"/>
        <v>1868.9940374239993</v>
      </c>
      <c r="BO33" s="100">
        <f t="shared" si="44"/>
        <v>-0.52378418866777932</v>
      </c>
      <c r="BP33" s="100">
        <f t="shared" si="45"/>
        <v>-0.11269463399866952</v>
      </c>
      <c r="BQ33" s="100">
        <f t="shared" si="53"/>
        <v>-4.451784062548958E-2</v>
      </c>
      <c r="BR33" s="2">
        <f t="shared" si="12"/>
        <v>0.14956844860832802</v>
      </c>
      <c r="BS33" s="2">
        <f>+Datos1[[#This Row],[RON acumulado 12 meses]]/Datos1[[#This Row],[PIB nominal (miles de millones de G.)]]*100</f>
        <v>2.8174729739049207</v>
      </c>
      <c r="BT33" s="56">
        <v>129.728740303</v>
      </c>
      <c r="BU33" s="56">
        <f>SUMIFS($BT$3:$BT33,$D$3:$D33,D33)</f>
        <v>526.94367596400002</v>
      </c>
      <c r="BV33" s="56">
        <f t="shared" si="32"/>
        <v>1474.7068843759998</v>
      </c>
      <c r="BW33" s="100">
        <f t="shared" si="46"/>
        <v>0.42663707107326942</v>
      </c>
      <c r="BX33" s="100">
        <f t="shared" si="47"/>
        <v>0.19459101929005329</v>
      </c>
      <c r="BY33" s="100">
        <f t="shared" si="54"/>
        <v>0.33944599518097585</v>
      </c>
      <c r="BZ33" s="56">
        <f t="shared" si="13"/>
        <v>18.657621055142123</v>
      </c>
      <c r="CA33" s="56">
        <f>Datos1[[#This Row],[Adquisición Neta de Activos no Financieros]]/Datos1[[#This Row],[PIB nominal (miles de millones de G.)]]*100</f>
        <v>0.19556360931263561</v>
      </c>
      <c r="CB33" s="56">
        <f>+Datos1[[#This Row],[ANANF acumulado por año]]/Datos1[[#This Row],[PIB nominal (miles de millones de G.)]]*100</f>
        <v>0.79435757207922797</v>
      </c>
      <c r="CC33" s="56">
        <f>+Datos1[[#This Row],[ANANF acumulado 12 meses]]/Datos1[[#This Row],[PIB nominal (miles de millones de G.)]]*100</f>
        <v>2.2230925877578489</v>
      </c>
      <c r="CD33" s="4">
        <v>54.759657793999999</v>
      </c>
      <c r="CE33" s="4">
        <f t="shared" si="14"/>
        <v>7.875548177246003</v>
      </c>
      <c r="CF33" s="4">
        <f t="shared" si="15"/>
        <v>74.969082509000003</v>
      </c>
      <c r="CG33" s="4">
        <f t="shared" si="16"/>
        <v>10.782072877896118</v>
      </c>
      <c r="CH33" s="56">
        <f t="shared" si="17"/>
        <v>-30.511270880999973</v>
      </c>
      <c r="CI33" s="56">
        <f>SUMIFS($CH$3:$CH33,$D$3:$D33,D33)</f>
        <v>647.70467753099956</v>
      </c>
      <c r="CJ33" s="56">
        <f t="shared" si="25"/>
        <v>394.28715304799937</v>
      </c>
      <c r="CK33" s="56">
        <f>Datos1[[#This Row],[Resultado Fiscal (miles de millones de G.)]]*1000/$F$207</f>
        <v>-4.3881388864093163</v>
      </c>
      <c r="CL33" s="56">
        <f t="shared" si="33"/>
        <v>56.706480547782512</v>
      </c>
      <c r="CM33" s="100">
        <f t="shared" si="48"/>
        <v>-1.2598642279326338</v>
      </c>
      <c r="CN33" s="100">
        <f t="shared" si="49"/>
        <v>-0.2662480465237983</v>
      </c>
      <c r="CO33" s="100">
        <f t="shared" si="55"/>
        <v>-0.53889479573050791</v>
      </c>
      <c r="CP33" s="4">
        <f t="shared" si="18"/>
        <v>-4.5995160704307626E-2</v>
      </c>
      <c r="CQ33" s="4">
        <f t="shared" si="26"/>
        <v>0.59438038614707167</v>
      </c>
      <c r="CR33" s="73">
        <v>268.15290626299998</v>
      </c>
      <c r="CS33" s="113">
        <f>SUM(Datos1[[#This Row],[FFPP]:[MTESS]])</f>
        <v>0</v>
      </c>
      <c r="CT33" s="113"/>
      <c r="CU33" s="113"/>
      <c r="CV33" s="113"/>
      <c r="CW33" s="113"/>
      <c r="CX33" s="113"/>
      <c r="CY33" s="113"/>
      <c r="CZ33" s="113"/>
    </row>
    <row r="34" spans="1:104">
      <c r="A34">
        <v>32</v>
      </c>
      <c r="B34" s="3">
        <v>38565</v>
      </c>
      <c r="C34" s="14" t="str">
        <f t="shared" si="0"/>
        <v>Agosto</v>
      </c>
      <c r="D34" s="14">
        <f t="shared" si="19"/>
        <v>2005</v>
      </c>
      <c r="E34" s="15">
        <f t="shared" si="1"/>
        <v>66335.828408449219</v>
      </c>
      <c r="F34" s="15">
        <f t="shared" si="2"/>
        <v>6177.929761904762</v>
      </c>
      <c r="G34" s="56">
        <v>720.36050502600006</v>
      </c>
      <c r="H34" s="4">
        <f t="shared" si="20"/>
        <v>1.0859297642150911</v>
      </c>
      <c r="I34" s="4">
        <f>SUMIFS($G$3:$G34,$D$3:$D34,D34)</f>
        <v>5432.2427418180005</v>
      </c>
      <c r="J34" s="2">
        <f t="shared" si="27"/>
        <v>8229.282412954999</v>
      </c>
      <c r="K34" s="95">
        <f t="shared" si="34"/>
        <v>0.11972864284630846</v>
      </c>
      <c r="L34" s="95">
        <f t="shared" si="35"/>
        <v>9.9280177108257428E-2</v>
      </c>
      <c r="M34" s="95">
        <f t="shared" si="50"/>
        <v>0.11803146005887988</v>
      </c>
      <c r="N34" s="4">
        <v>440.600099</v>
      </c>
      <c r="O34" s="4">
        <f t="shared" si="3"/>
        <v>0.66419627156398131</v>
      </c>
      <c r="P34" s="4">
        <f>SUMIFS($N$3:$N34,$D$3:$D34,D34)</f>
        <v>3501.2873371250007</v>
      </c>
      <c r="Q34" s="4">
        <f t="shared" si="23"/>
        <v>5287.7981252659993</v>
      </c>
      <c r="R34" s="97">
        <f t="shared" si="36"/>
        <v>7.7184449031546976E-2</v>
      </c>
      <c r="S34" s="97">
        <f t="shared" si="37"/>
        <v>0.11411777368302434</v>
      </c>
      <c r="T34" s="97">
        <f t="shared" si="51"/>
        <v>0.14116116611788043</v>
      </c>
      <c r="U34" s="4">
        <v>152.54848594100002</v>
      </c>
      <c r="V34" s="4">
        <f t="shared" si="28"/>
        <v>2289.8085945309999</v>
      </c>
      <c r="W34" s="97">
        <f t="shared" si="56"/>
        <v>0.19258349048290424</v>
      </c>
      <c r="X34" s="97">
        <f t="shared" si="38"/>
        <v>0.27004041150640057</v>
      </c>
      <c r="Y34" s="4">
        <v>280.29790606500006</v>
      </c>
      <c r="Z34" s="4">
        <f t="shared" si="29"/>
        <v>2994.9319202020001</v>
      </c>
      <c r="AA34" s="97">
        <f t="shared" si="57"/>
        <v>9.6013344946685342E-2</v>
      </c>
      <c r="AB34" s="97">
        <f t="shared" si="39"/>
        <v>3.1711137539939704E-2</v>
      </c>
      <c r="AC34" s="4">
        <v>84.032453623999999</v>
      </c>
      <c r="AD34" s="4">
        <f t="shared" si="4"/>
        <v>0.12667732602446366</v>
      </c>
      <c r="AE34" s="4">
        <v>16.365745441999998</v>
      </c>
      <c r="AF34" s="4">
        <f t="shared" si="5"/>
        <v>2.4671050071510808E-2</v>
      </c>
      <c r="AG34" s="4">
        <v>179.36220695999998</v>
      </c>
      <c r="AH34" s="4">
        <f t="shared" si="6"/>
        <v>29.032736510863071</v>
      </c>
      <c r="AI34" s="4">
        <v>122.542537349</v>
      </c>
      <c r="AJ34" s="4">
        <f t="shared" si="7"/>
        <v>17.624099483685267</v>
      </c>
      <c r="AK34" s="101">
        <f>SUMIFS($AJ$3:$AJ34,$D$3:$D34,D34)</f>
        <v>155.86774504666246</v>
      </c>
      <c r="AL34" s="4">
        <v>18.359417544999999</v>
      </c>
      <c r="AM34" s="4">
        <f t="shared" si="8"/>
        <v>2.6404561899520451</v>
      </c>
      <c r="AN34" s="101">
        <f>SUMIFS($AM$3:$AM34,$D$3:$D34,D34)</f>
        <v>10.515847388967162</v>
      </c>
      <c r="AO34" s="4">
        <f t="shared" si="21"/>
        <v>38.460252065999981</v>
      </c>
      <c r="AP34" s="56">
        <v>508.93777265299991</v>
      </c>
      <c r="AQ34" s="4">
        <f t="shared" si="9"/>
        <v>0.76721401520656418</v>
      </c>
      <c r="AR34" s="4">
        <f>SUMIFS($AP$3:$AP34,$D$3:$D34,D34)</f>
        <v>4046.1716559500001</v>
      </c>
      <c r="AS34" s="4">
        <f t="shared" si="30"/>
        <v>6318.0119235600005</v>
      </c>
      <c r="AT34" s="97">
        <f t="shared" si="40"/>
        <v>4.6861624857008399E-2</v>
      </c>
      <c r="AU34" s="97">
        <f t="shared" si="41"/>
        <v>0.2047885598879422</v>
      </c>
      <c r="AV34" s="98">
        <f t="shared" si="52"/>
        <v>0.17048642262385849</v>
      </c>
      <c r="AW34" s="4">
        <v>249.78751390699995</v>
      </c>
      <c r="AX34" s="4">
        <f>SUMIFS($AW$3:$AW34,$D$3:$D34,D34)</f>
        <v>2002.9667071400002</v>
      </c>
      <c r="AY34" s="4">
        <f t="shared" si="31"/>
        <v>3165.0399055839998</v>
      </c>
      <c r="AZ34" s="97">
        <f t="shared" si="42"/>
        <v>0.10970914398389908</v>
      </c>
      <c r="BA34" s="97">
        <f t="shared" si="43"/>
        <v>0.11351142644097001</v>
      </c>
      <c r="BB34" s="97">
        <f t="shared" si="58"/>
        <v>0.11534605746840287</v>
      </c>
      <c r="BC34" s="4">
        <v>193.43809603599999</v>
      </c>
      <c r="BD34" s="4">
        <f t="shared" si="22"/>
        <v>56.349417870999957</v>
      </c>
      <c r="BE34" s="4">
        <v>41.979238900999995</v>
      </c>
      <c r="BF34" s="4">
        <v>26.818781368</v>
      </c>
      <c r="BG34" s="4">
        <f t="shared" si="10"/>
        <v>3.8570840875827015</v>
      </c>
      <c r="BH34" s="4">
        <f>Datos1[[#This Row],[Intereses]]/Datos1[[#This Row],[PIB nominal (miles de millones de G.)]]*100</f>
        <v>4.0428802973362855E-2</v>
      </c>
      <c r="BI34" s="4">
        <v>84.770226942000022</v>
      </c>
      <c r="BJ34" s="4">
        <v>96.758591938000009</v>
      </c>
      <c r="BK34" s="4">
        <v>8.8234195970000009</v>
      </c>
      <c r="BL34" s="56">
        <f t="shared" si="11"/>
        <v>211.42273237300014</v>
      </c>
      <c r="BM34" s="56">
        <f>SUMIFS($BL$3:$BL34,$D$3:$D34,D34)</f>
        <v>1386.0710858679997</v>
      </c>
      <c r="BN34" s="56">
        <f t="shared" si="24"/>
        <v>1911.2704893949997</v>
      </c>
      <c r="BO34" s="100">
        <f t="shared" si="44"/>
        <v>0.24994018118828421</v>
      </c>
      <c r="BP34" s="100">
        <f t="shared" si="45"/>
        <v>-7.1610249821496552E-2</v>
      </c>
      <c r="BQ34" s="100">
        <f t="shared" si="53"/>
        <v>-2.6225531715526329E-2</v>
      </c>
      <c r="BR34" s="2">
        <f t="shared" si="12"/>
        <v>0.31871574900852695</v>
      </c>
      <c r="BS34" s="2">
        <f>+Datos1[[#This Row],[RON acumulado 12 meses]]/Datos1[[#This Row],[PIB nominal (miles de millones de G.)]]*100</f>
        <v>2.8812039213963603</v>
      </c>
      <c r="BT34" s="56">
        <v>132.63446139200002</v>
      </c>
      <c r="BU34" s="56">
        <f>SUMIFS($BT$3:$BT34,$D$3:$D34,D34)</f>
        <v>659.57813735600007</v>
      </c>
      <c r="BV34" s="56">
        <f t="shared" si="32"/>
        <v>1514.1720378320001</v>
      </c>
      <c r="BW34" s="100">
        <f t="shared" si="46"/>
        <v>0.4235853451128937</v>
      </c>
      <c r="BX34" s="100">
        <f t="shared" si="47"/>
        <v>0.23452391902537073</v>
      </c>
      <c r="BY34" s="100">
        <f t="shared" si="54"/>
        <v>0.35445282472498318</v>
      </c>
      <c r="BZ34" s="56">
        <f t="shared" si="13"/>
        <v>19.075522615304298</v>
      </c>
      <c r="CA34" s="56">
        <f>Datos1[[#This Row],[Adquisición Neta de Activos no Financieros]]/Datos1[[#This Row],[PIB nominal (miles de millones de G.)]]*100</f>
        <v>0.19994392860420859</v>
      </c>
      <c r="CB34" s="56">
        <f>+Datos1[[#This Row],[ANANF acumulado por año]]/Datos1[[#This Row],[PIB nominal (miles de millones de G.)]]*100</f>
        <v>0.99430150068343659</v>
      </c>
      <c r="CC34" s="56">
        <f>+Datos1[[#This Row],[ANANF acumulado 12 meses]]/Datos1[[#This Row],[PIB nominal (miles de millones de G.)]]*100</f>
        <v>2.2825855561926462</v>
      </c>
      <c r="CD34" s="4">
        <v>60.650792296999988</v>
      </c>
      <c r="CE34" s="4">
        <f t="shared" si="14"/>
        <v>8.7228126684075278</v>
      </c>
      <c r="CF34" s="4">
        <f t="shared" si="15"/>
        <v>71.983669095000039</v>
      </c>
      <c r="CG34" s="4">
        <f t="shared" si="16"/>
        <v>10.35270994689677</v>
      </c>
      <c r="CH34" s="56">
        <f t="shared" si="17"/>
        <v>78.788270981000124</v>
      </c>
      <c r="CI34" s="56">
        <f>SUMIFS($CH$3:$CH34,$D$3:$D34,D34)</f>
        <v>726.49294851199966</v>
      </c>
      <c r="CJ34" s="56">
        <f t="shared" si="25"/>
        <v>397.09845156299957</v>
      </c>
      <c r="CK34" s="56">
        <f>Datos1[[#This Row],[Resultado Fiscal (miles de millones de G.)]]*1000/$F$207</f>
        <v>11.331349553845602</v>
      </c>
      <c r="CL34" s="56">
        <f t="shared" si="33"/>
        <v>57.11080222887837</v>
      </c>
      <c r="CM34" s="100">
        <f t="shared" si="48"/>
        <v>3.7001981307668519E-2</v>
      </c>
      <c r="CN34" s="100">
        <f t="shared" si="49"/>
        <v>-0.24221565110485932</v>
      </c>
      <c r="CO34" s="100">
        <f t="shared" si="55"/>
        <v>-0.5299625079613155</v>
      </c>
      <c r="CP34" s="4">
        <f t="shared" si="18"/>
        <v>0.1187718204043184</v>
      </c>
      <c r="CQ34" s="4">
        <f t="shared" si="26"/>
        <v>0.59861836520371392</v>
      </c>
      <c r="CR34" s="73">
        <v>264.45450500999999</v>
      </c>
      <c r="CS34" s="113">
        <f>SUM(Datos1[[#This Row],[FFPP]:[MTESS]])</f>
        <v>0</v>
      </c>
      <c r="CT34" s="113"/>
      <c r="CU34" s="113"/>
      <c r="CV34" s="113"/>
      <c r="CW34" s="113"/>
      <c r="CX34" s="113"/>
      <c r="CY34" s="113"/>
      <c r="CZ34" s="113"/>
    </row>
    <row r="35" spans="1:104">
      <c r="A35">
        <v>33</v>
      </c>
      <c r="B35" s="3">
        <v>38596</v>
      </c>
      <c r="C35" s="14" t="str">
        <f t="shared" si="0"/>
        <v>Septiembre</v>
      </c>
      <c r="D35" s="14">
        <f t="shared" si="19"/>
        <v>2005</v>
      </c>
      <c r="E35" s="15">
        <f t="shared" si="1"/>
        <v>66335.828408449219</v>
      </c>
      <c r="F35" s="15">
        <f t="shared" ref="F35:F66" si="59">VLOOKUP(D35,cambio,2,0)</f>
        <v>6177.929761904762</v>
      </c>
      <c r="G35" s="56">
        <v>694.04686913299997</v>
      </c>
      <c r="H35" s="4">
        <f t="shared" si="20"/>
        <v>1.0462624584403306</v>
      </c>
      <c r="I35" s="4">
        <f>SUMIFS($G$3:$G35,$D$3:$D35,D35)</f>
        <v>6126.2896109510002</v>
      </c>
      <c r="J35" s="2">
        <f t="shared" si="27"/>
        <v>8246.4082043920007</v>
      </c>
      <c r="K35" s="95">
        <f t="shared" si="34"/>
        <v>0.1081661557112521</v>
      </c>
      <c r="L35" s="95">
        <f t="shared" si="35"/>
        <v>2.5299539342592103E-2</v>
      </c>
      <c r="M35" s="95">
        <f t="shared" si="50"/>
        <v>9.9028318872342425E-2</v>
      </c>
      <c r="N35" s="4">
        <v>475.719881939</v>
      </c>
      <c r="O35" s="4">
        <f t="shared" si="3"/>
        <v>0.71713867656834351</v>
      </c>
      <c r="P35" s="4">
        <f>SUMIFS($N$3:$N35,$D$3:$D35,D35)</f>
        <v>3977.0072190640008</v>
      </c>
      <c r="Q35" s="4">
        <f t="shared" si="23"/>
        <v>5294.1962282619997</v>
      </c>
      <c r="R35" s="97">
        <f t="shared" si="36"/>
        <v>1.3632657343134014E-2</v>
      </c>
      <c r="S35" s="97">
        <f t="shared" si="37"/>
        <v>0.101061250406284</v>
      </c>
      <c r="T35" s="97">
        <f t="shared" si="51"/>
        <v>0.11768901490618133</v>
      </c>
      <c r="U35" s="4">
        <v>208.21257276200004</v>
      </c>
      <c r="V35" s="4">
        <f t="shared" si="28"/>
        <v>2289.97087504</v>
      </c>
      <c r="W35" s="97">
        <f t="shared" si="56"/>
        <v>0.1673224962424178</v>
      </c>
      <c r="X35" s="97">
        <f t="shared" si="38"/>
        <v>7.8000615737061629E-4</v>
      </c>
      <c r="Y35" s="4">
        <v>280.93009513300007</v>
      </c>
      <c r="Z35" s="4">
        <f t="shared" si="29"/>
        <v>3013.4424689940001</v>
      </c>
      <c r="AA35" s="97">
        <f t="shared" si="57"/>
        <v>7.9469317231857017E-2</v>
      </c>
      <c r="AB35" s="97">
        <f t="shared" si="39"/>
        <v>7.0537995549868837E-2</v>
      </c>
      <c r="AC35" s="4">
        <v>29.241700948999998</v>
      </c>
      <c r="AD35" s="4">
        <f t="shared" si="4"/>
        <v>4.4081308171732232E-2</v>
      </c>
      <c r="AE35" s="4">
        <v>18.825308208000003</v>
      </c>
      <c r="AF35" s="4">
        <f t="shared" si="5"/>
        <v>2.8378794174525174E-2</v>
      </c>
      <c r="AG35" s="4">
        <v>170.259978037</v>
      </c>
      <c r="AH35" s="4">
        <f t="shared" si="6"/>
        <v>27.559390378129827</v>
      </c>
      <c r="AI35" s="4">
        <v>127.78489702100001</v>
      </c>
      <c r="AJ35" s="4">
        <f t="shared" si="7"/>
        <v>18.378057010494562</v>
      </c>
      <c r="AK35" s="101">
        <f>SUMIFS($AJ$3:$AJ35,$D$3:$D35,D35)</f>
        <v>174.24580205715702</v>
      </c>
      <c r="AL35" s="4">
        <v>0</v>
      </c>
      <c r="AM35" s="4">
        <f t="shared" si="8"/>
        <v>0</v>
      </c>
      <c r="AN35" s="101">
        <f>SUMIFS($AM$3:$AM35,$D$3:$D35,D35)</f>
        <v>10.515847388967162</v>
      </c>
      <c r="AO35" s="4">
        <f t="shared" si="21"/>
        <v>42.47508101599999</v>
      </c>
      <c r="AP35" s="56">
        <v>535.31118469300009</v>
      </c>
      <c r="AQ35" s="4">
        <f t="shared" si="9"/>
        <v>0.80697143238632907</v>
      </c>
      <c r="AR35" s="4">
        <f>SUMIFS($AP$3:$AP35,$D$3:$D35,D35)</f>
        <v>4581.4828406430006</v>
      </c>
      <c r="AS35" s="4">
        <f t="shared" si="30"/>
        <v>6475.8847574790016</v>
      </c>
      <c r="AT35" s="97">
        <f t="shared" si="40"/>
        <v>0.4182744906426592</v>
      </c>
      <c r="AU35" s="97">
        <f t="shared" si="41"/>
        <v>0.22635737400319011</v>
      </c>
      <c r="AV35" s="98">
        <f t="shared" si="52"/>
        <v>0.19668294719013035</v>
      </c>
      <c r="AW35" s="4">
        <v>249.40620184500006</v>
      </c>
      <c r="AX35" s="4">
        <f>SUMIFS($AW$3:$AW35,$D$3:$D35,D35)</f>
        <v>2252.3729089850003</v>
      </c>
      <c r="AY35" s="4">
        <f t="shared" si="31"/>
        <v>3189.2664991369998</v>
      </c>
      <c r="AZ35" s="97">
        <f t="shared" si="42"/>
        <v>0.10758786613388382</v>
      </c>
      <c r="BA35" s="97">
        <f t="shared" si="43"/>
        <v>0.11285239043661943</v>
      </c>
      <c r="BB35" s="97">
        <f t="shared" si="58"/>
        <v>0.11841325243242595</v>
      </c>
      <c r="BC35" s="4">
        <v>195.01693185400001</v>
      </c>
      <c r="BD35" s="4">
        <f t="shared" si="22"/>
        <v>54.389269991000049</v>
      </c>
      <c r="BE35" s="4">
        <v>46.454464143999999</v>
      </c>
      <c r="BF35" s="4">
        <v>38.895483596000005</v>
      </c>
      <c r="BG35" s="4">
        <f t="shared" si="10"/>
        <v>5.5939585322087861</v>
      </c>
      <c r="BH35" s="4">
        <f>Datos1[[#This Row],[Intereses]]/Datos1[[#This Row],[PIB nominal (miles de millones de G.)]]*100</f>
        <v>5.8634201952689972E-2</v>
      </c>
      <c r="BI35" s="4">
        <v>86.693289184999983</v>
      </c>
      <c r="BJ35" s="4">
        <v>93.667887081000003</v>
      </c>
      <c r="BK35" s="4">
        <v>20.193858841999997</v>
      </c>
      <c r="BL35" s="56">
        <f t="shared" ref="BL35:BL66" si="60">+G35-AP35</f>
        <v>158.73568443999989</v>
      </c>
      <c r="BM35" s="56">
        <f>SUMIFS($BL$3:$BL35,$D$3:$D35,D35)</f>
        <v>1544.8067703079996</v>
      </c>
      <c r="BN35" s="56">
        <f t="shared" si="24"/>
        <v>1770.5234469129991</v>
      </c>
      <c r="BO35" s="100">
        <f t="shared" si="44"/>
        <v>-0.4699671461140984</v>
      </c>
      <c r="BP35" s="100">
        <f t="shared" si="45"/>
        <v>-0.1381671374384752</v>
      </c>
      <c r="BQ35" s="100">
        <f t="shared" si="53"/>
        <v>-0.1536021417500858</v>
      </c>
      <c r="BR35" s="2">
        <f t="shared" si="12"/>
        <v>0.23929102605400138</v>
      </c>
      <c r="BS35" s="2">
        <f>+Datos1[[#This Row],[RON acumulado 12 meses]]/Datos1[[#This Row],[PIB nominal (miles de millones de G.)]]*100</f>
        <v>2.6690304310535855</v>
      </c>
      <c r="BT35" s="56">
        <v>98.209037800000004</v>
      </c>
      <c r="BU35" s="56">
        <f>SUMIFS($BT$3:$BT35,$D$3:$D35,D35)</f>
        <v>757.7871751560001</v>
      </c>
      <c r="BV35" s="56">
        <f t="shared" si="32"/>
        <v>1536.5421350680001</v>
      </c>
      <c r="BW35" s="100">
        <f t="shared" si="46"/>
        <v>0.29496848280893406</v>
      </c>
      <c r="BX35" s="100">
        <f t="shared" si="47"/>
        <v>0.24203732579290826</v>
      </c>
      <c r="BY35" s="100">
        <f t="shared" si="54"/>
        <v>0.39523182428830217</v>
      </c>
      <c r="BZ35" s="56">
        <f t="shared" si="13"/>
        <v>14.124449271478476</v>
      </c>
      <c r="CA35" s="56">
        <f>Datos1[[#This Row],[Adquisición Neta de Activos no Financieros]]/Datos1[[#This Row],[PIB nominal (miles de millones de G.)]]*100</f>
        <v>0.14804825711272956</v>
      </c>
      <c r="CB35" s="56">
        <f>+Datos1[[#This Row],[ANANF acumulado por año]]/Datos1[[#This Row],[PIB nominal (miles de millones de G.)]]*100</f>
        <v>1.1423497577961663</v>
      </c>
      <c r="CC35" s="56">
        <f>+Datos1[[#This Row],[ANANF acumulado 12 meses]]/Datos1[[#This Row],[PIB nominal (miles de millones de G.)]]*100</f>
        <v>2.3163080524253923</v>
      </c>
      <c r="CD35" s="4">
        <v>45.821968952000006</v>
      </c>
      <c r="CE35" s="4">
        <f t="shared" si="14"/>
        <v>6.5901274514043315</v>
      </c>
      <c r="CF35" s="4">
        <f t="shared" si="15"/>
        <v>52.387068847999998</v>
      </c>
      <c r="CG35" s="4">
        <f t="shared" si="16"/>
        <v>7.5343218200741422</v>
      </c>
      <c r="CH35" s="56">
        <f t="shared" si="17"/>
        <v>60.526646639999882</v>
      </c>
      <c r="CI35" s="56">
        <f>SUMIFS($CH$3:$CH35,$D$3:$D35,D35)</f>
        <v>787.01959515199951</v>
      </c>
      <c r="CJ35" s="56">
        <f t="shared" si="25"/>
        <v>233.98131184499931</v>
      </c>
      <c r="CK35" s="56">
        <f>Datos1[[#This Row],[Resultado Fiscal (miles de millones de G.)]]*1000/$F$207</f>
        <v>8.7049580078401032</v>
      </c>
      <c r="CL35" s="56">
        <f t="shared" si="33"/>
        <v>33.651252915835805</v>
      </c>
      <c r="CM35" s="100">
        <f t="shared" si="48"/>
        <v>-0.72936137584832683</v>
      </c>
      <c r="CN35" s="100">
        <f t="shared" si="49"/>
        <v>-0.33436016636710675</v>
      </c>
      <c r="CO35" s="100">
        <f t="shared" si="55"/>
        <v>-0.76378710927695892</v>
      </c>
      <c r="CP35" s="4">
        <f t="shared" si="18"/>
        <v>9.124276894127184E-2</v>
      </c>
      <c r="CQ35" s="4">
        <f t="shared" si="26"/>
        <v>0.35272237862819394</v>
      </c>
      <c r="CR35" s="73">
        <v>263.65926598499999</v>
      </c>
      <c r="CS35" s="113">
        <f>SUM(Datos1[[#This Row],[FFPP]:[MTESS]])</f>
        <v>0</v>
      </c>
      <c r="CT35" s="113"/>
      <c r="CU35" s="113"/>
      <c r="CV35" s="113"/>
      <c r="CW35" s="113"/>
      <c r="CX35" s="113"/>
      <c r="CY35" s="113"/>
      <c r="CZ35" s="113"/>
    </row>
    <row r="36" spans="1:104">
      <c r="A36">
        <v>34</v>
      </c>
      <c r="B36" s="3">
        <v>38626</v>
      </c>
      <c r="C36" s="14" t="str">
        <f t="shared" si="0"/>
        <v>Octubre</v>
      </c>
      <c r="D36" s="14">
        <f t="shared" si="19"/>
        <v>2005</v>
      </c>
      <c r="E36" s="15">
        <f t="shared" si="1"/>
        <v>66335.828408449219</v>
      </c>
      <c r="F36" s="15">
        <f t="shared" si="59"/>
        <v>6177.929761904762</v>
      </c>
      <c r="G36" s="56">
        <v>708.7273574269999</v>
      </c>
      <c r="H36" s="4">
        <f t="shared" si="20"/>
        <v>1.0683930154051247</v>
      </c>
      <c r="I36" s="4">
        <f>SUMIFS($G$3:$G36,$D$3:$D36,D36)</f>
        <v>6835.0169683780005</v>
      </c>
      <c r="J36" s="2">
        <f t="shared" si="27"/>
        <v>8273.5782484909996</v>
      </c>
      <c r="K36" s="95">
        <f t="shared" si="34"/>
        <v>0.10066980130021119</v>
      </c>
      <c r="L36" s="95">
        <f t="shared" si="35"/>
        <v>3.986465051094612E-2</v>
      </c>
      <c r="M36" s="95">
        <f t="shared" si="50"/>
        <v>8.4394207850363223E-2</v>
      </c>
      <c r="N36" s="4">
        <v>472.54109064399995</v>
      </c>
      <c r="O36" s="4">
        <f t="shared" si="3"/>
        <v>0.71234670913344955</v>
      </c>
      <c r="P36" s="4">
        <f>SUMIFS($N$3:$N36,$D$3:$D36,D36)</f>
        <v>4449.5483097080005</v>
      </c>
      <c r="Q36" s="4">
        <f t="shared" si="23"/>
        <v>5366.8653284849997</v>
      </c>
      <c r="R36" s="97">
        <f t="shared" si="36"/>
        <v>0.18173090880031717</v>
      </c>
      <c r="S36" s="97">
        <f t="shared" si="37"/>
        <v>0.10910181773727312</v>
      </c>
      <c r="T36" s="97">
        <f t="shared" si="51"/>
        <v>0.12842416765656584</v>
      </c>
      <c r="U36" s="4">
        <v>153.46768444699998</v>
      </c>
      <c r="V36" s="4">
        <f t="shared" si="28"/>
        <v>2307.2178483940002</v>
      </c>
      <c r="W36" s="97">
        <f t="shared" si="56"/>
        <v>0.16844943433289039</v>
      </c>
      <c r="X36" s="97">
        <f t="shared" si="38"/>
        <v>0.12661050743029256</v>
      </c>
      <c r="Y36" s="4">
        <v>302.90307076700003</v>
      </c>
      <c r="Z36" s="4">
        <f t="shared" si="29"/>
        <v>3044.3827640020004</v>
      </c>
      <c r="AA36" s="97">
        <f t="shared" si="57"/>
        <v>8.7662494928880452E-2</v>
      </c>
      <c r="AB36" s="97">
        <f t="shared" si="39"/>
        <v>0.11376665399024244</v>
      </c>
      <c r="AC36" s="4">
        <v>44.239646426</v>
      </c>
      <c r="AD36" s="4">
        <f t="shared" si="4"/>
        <v>6.6690425803690098E-2</v>
      </c>
      <c r="AE36" s="4">
        <v>18.490950939999998</v>
      </c>
      <c r="AF36" s="4">
        <f t="shared" si="5"/>
        <v>2.7874756950566397E-2</v>
      </c>
      <c r="AG36" s="4">
        <v>173.455669417</v>
      </c>
      <c r="AH36" s="4">
        <f t="shared" si="6"/>
        <v>28.07666582527164</v>
      </c>
      <c r="AI36" s="4">
        <v>129.71795946899999</v>
      </c>
      <c r="AJ36" s="4">
        <f t="shared" si="7"/>
        <v>18.656070552801925</v>
      </c>
      <c r="AK36" s="101">
        <f>SUMIFS($AJ$3:$AJ36,$D$3:$D36,D36)</f>
        <v>192.90187260995896</v>
      </c>
      <c r="AL36" s="4">
        <v>8.8556205800000001</v>
      </c>
      <c r="AM36" s="4">
        <f t="shared" si="8"/>
        <v>1.2736176471293235</v>
      </c>
      <c r="AN36" s="101">
        <f>SUMIFS($AM$3:$AM36,$D$3:$D36,D36)</f>
        <v>11.789465036096486</v>
      </c>
      <c r="AO36" s="4">
        <f t="shared" si="21"/>
        <v>34.882089368000003</v>
      </c>
      <c r="AP36" s="56">
        <v>529.98403618000009</v>
      </c>
      <c r="AQ36" s="4">
        <f t="shared" si="9"/>
        <v>0.79894085729469211</v>
      </c>
      <c r="AR36" s="4">
        <f>SUMIFS($AP$3:$AP36,$D$3:$D36,D36)</f>
        <v>5111.4668768230003</v>
      </c>
      <c r="AS36" s="4">
        <f t="shared" si="30"/>
        <v>6432.258941828999</v>
      </c>
      <c r="AT36" s="97">
        <f t="shared" si="40"/>
        <v>-7.6054857689106137E-2</v>
      </c>
      <c r="AU36" s="97">
        <f t="shared" si="41"/>
        <v>0.18610481699575598</v>
      </c>
      <c r="AV36" s="98">
        <f t="shared" si="52"/>
        <v>0.15317734433923991</v>
      </c>
      <c r="AW36" s="4">
        <v>255.17836459300003</v>
      </c>
      <c r="AX36" s="4">
        <f>SUMIFS($AW$3:$AW36,$D$3:$D36,D36)</f>
        <v>2507.5512735780003</v>
      </c>
      <c r="AY36" s="4">
        <f t="shared" si="31"/>
        <v>3211.5038437609996</v>
      </c>
      <c r="AZ36" s="97">
        <f t="shared" si="42"/>
        <v>9.5463412270451187E-2</v>
      </c>
      <c r="BA36" s="97">
        <f t="shared" si="43"/>
        <v>0.11105762871456037</v>
      </c>
      <c r="BB36" s="97">
        <f t="shared" si="58"/>
        <v>0.11776901147819885</v>
      </c>
      <c r="BC36" s="4">
        <v>194.38073140899999</v>
      </c>
      <c r="BD36" s="4">
        <f t="shared" si="22"/>
        <v>60.797633184000034</v>
      </c>
      <c r="BE36" s="4">
        <v>43.544987912000003</v>
      </c>
      <c r="BF36" s="4">
        <v>29.194823579000001</v>
      </c>
      <c r="BG36" s="4">
        <f t="shared" si="10"/>
        <v>4.198807094221924</v>
      </c>
      <c r="BH36" s="4">
        <f>Datos1[[#This Row],[Intereses]]/Datos1[[#This Row],[PIB nominal (miles de millones de G.)]]*100</f>
        <v>4.4010641427795066E-2</v>
      </c>
      <c r="BI36" s="4">
        <v>101.860255499</v>
      </c>
      <c r="BJ36" s="4">
        <v>93.646477365999999</v>
      </c>
      <c r="BK36" s="4">
        <v>6.5591272309999997</v>
      </c>
      <c r="BL36" s="56">
        <f t="shared" si="60"/>
        <v>178.74332124699981</v>
      </c>
      <c r="BM36" s="56">
        <f>SUMIFS($BL$3:$BL36,$D$3:$D36,D36)</f>
        <v>1723.5500915549994</v>
      </c>
      <c r="BN36" s="56">
        <f t="shared" si="24"/>
        <v>1841.3193066619995</v>
      </c>
      <c r="BO36" s="100">
        <f t="shared" si="44"/>
        <v>0.6558362629982899</v>
      </c>
      <c r="BP36" s="100">
        <f t="shared" si="45"/>
        <v>-9.3066101081761721E-2</v>
      </c>
      <c r="BQ36" s="100">
        <f t="shared" si="53"/>
        <v>-0.10259223136252815</v>
      </c>
      <c r="BR36" s="2">
        <f t="shared" si="12"/>
        <v>0.26945215811043255</v>
      </c>
      <c r="BS36" s="2">
        <f>+Datos1[[#This Row],[RON acumulado 12 meses]]/Datos1[[#This Row],[PIB nominal (miles de millones de G.)]]*100</f>
        <v>2.7757538434953348</v>
      </c>
      <c r="BT36" s="56">
        <v>98.620466428</v>
      </c>
      <c r="BU36" s="56">
        <f>SUMIFS($BT$3:$BT36,$D$3:$D36,D36)</f>
        <v>856.40764158400009</v>
      </c>
      <c r="BV36" s="56">
        <f t="shared" si="32"/>
        <v>1381.6853359350002</v>
      </c>
      <c r="BW36" s="100">
        <f t="shared" si="46"/>
        <v>-0.61092973679619123</v>
      </c>
      <c r="BX36" s="100">
        <f t="shared" si="47"/>
        <v>-8.3209165924967854E-3</v>
      </c>
      <c r="BY36" s="100">
        <f t="shared" si="54"/>
        <v>9.0592169397113897E-2</v>
      </c>
      <c r="BZ36" s="56">
        <f t="shared" si="13"/>
        <v>14.183621043396801</v>
      </c>
      <c r="CA36" s="56">
        <f>Datos1[[#This Row],[Adquisición Neta de Activos no Financieros]]/Datos1[[#This Row],[PIB nominal (miles de millones de G.)]]*100</f>
        <v>0.14866847794643456</v>
      </c>
      <c r="CB36" s="56">
        <f>+Datos1[[#This Row],[ANANF acumulado por año]]/Datos1[[#This Row],[PIB nominal (miles de millones de G.)]]*100</f>
        <v>1.2910182357426008</v>
      </c>
      <c r="CC36" s="56">
        <f>+Datos1[[#This Row],[ANANF acumulado 12 meses]]/Datos1[[#This Row],[PIB nominal (miles de millones de G.)]]*100</f>
        <v>2.0828643722176152</v>
      </c>
      <c r="CD36" s="4">
        <v>45.564035513999997</v>
      </c>
      <c r="CE36" s="4">
        <f t="shared" si="14"/>
        <v>6.553031397496663</v>
      </c>
      <c r="CF36" s="4">
        <f t="shared" si="15"/>
        <v>53.056430914000003</v>
      </c>
      <c r="CG36" s="4">
        <f t="shared" si="16"/>
        <v>7.6305896459001392</v>
      </c>
      <c r="CH36" s="56">
        <f t="shared" si="17"/>
        <v>80.122854818999812</v>
      </c>
      <c r="CI36" s="56">
        <f>SUMIFS($CH$3:$CH36,$D$3:$D36,D36)</f>
        <v>867.14244997099934</v>
      </c>
      <c r="CJ36" s="56">
        <f t="shared" si="25"/>
        <v>459.63397072699922</v>
      </c>
      <c r="CK36" s="56">
        <f>Datos1[[#This Row],[Resultado Fiscal (miles de millones de G.)]]*1000/$F$207</f>
        <v>11.523289747341334</v>
      </c>
      <c r="CL36" s="56">
        <f t="shared" si="33"/>
        <v>66.104676803805575</v>
      </c>
      <c r="CM36" s="100">
        <f t="shared" si="48"/>
        <v>-1.5505597656430186</v>
      </c>
      <c r="CN36" s="100">
        <f t="shared" si="49"/>
        <v>-0.16365245500859149</v>
      </c>
      <c r="CO36" s="100">
        <f t="shared" si="55"/>
        <v>-0.41440976650793027</v>
      </c>
      <c r="CP36" s="4">
        <f t="shared" si="18"/>
        <v>0.12078368016399797</v>
      </c>
      <c r="CQ36" s="4">
        <f t="shared" si="26"/>
        <v>0.69288947127771983</v>
      </c>
      <c r="CR36" s="73">
        <v>269.17923324899999</v>
      </c>
      <c r="CS36" s="113">
        <f>SUM(Datos1[[#This Row],[FFPP]:[MTESS]])</f>
        <v>0</v>
      </c>
      <c r="CT36" s="113"/>
      <c r="CU36" s="113"/>
      <c r="CV36" s="113"/>
      <c r="CW36" s="113"/>
      <c r="CX36" s="113"/>
      <c r="CY36" s="113"/>
      <c r="CZ36" s="113"/>
    </row>
    <row r="37" spans="1:104">
      <c r="A37">
        <v>35</v>
      </c>
      <c r="B37" s="3">
        <v>38657</v>
      </c>
      <c r="C37" s="14" t="str">
        <f t="shared" si="0"/>
        <v>Noviembre</v>
      </c>
      <c r="D37" s="14">
        <f t="shared" si="19"/>
        <v>2005</v>
      </c>
      <c r="E37" s="15">
        <f t="shared" si="1"/>
        <v>66335.828408449219</v>
      </c>
      <c r="F37" s="15">
        <f t="shared" si="59"/>
        <v>6177.929761904762</v>
      </c>
      <c r="G37" s="56">
        <v>744.25880173999997</v>
      </c>
      <c r="H37" s="4">
        <f t="shared" si="20"/>
        <v>1.1219559921033615</v>
      </c>
      <c r="I37" s="4">
        <f>SUMIFS($G$3:$G37,$D$3:$D37,D37)</f>
        <v>7579.2757701180008</v>
      </c>
      <c r="J37" s="2">
        <f t="shared" si="27"/>
        <v>8282.514181556</v>
      </c>
      <c r="K37" s="95">
        <f t="shared" si="34"/>
        <v>9.1298014190992705E-2</v>
      </c>
      <c r="L37" s="95">
        <f t="shared" si="35"/>
        <v>1.2152393792813854E-2</v>
      </c>
      <c r="M37" s="95">
        <f t="shared" si="50"/>
        <v>6.4268704454979009E-2</v>
      </c>
      <c r="N37" s="4">
        <v>504.753636895</v>
      </c>
      <c r="O37" s="4">
        <f t="shared" si="3"/>
        <v>0.76090651010956445</v>
      </c>
      <c r="P37" s="4">
        <f>SUMIFS($N$3:$N37,$D$3:$D37,D37)</f>
        <v>4954.301946603</v>
      </c>
      <c r="Q37" s="4">
        <f t="shared" si="23"/>
        <v>5368.9635211290006</v>
      </c>
      <c r="R37" s="97">
        <f t="shared" si="36"/>
        <v>4.1742164896403366E-3</v>
      </c>
      <c r="S37" s="97">
        <f t="shared" si="37"/>
        <v>9.7418932464790053E-2</v>
      </c>
      <c r="T37" s="97">
        <f t="shared" si="51"/>
        <v>9.838184143574713E-2</v>
      </c>
      <c r="U37" s="4">
        <v>199.662414961</v>
      </c>
      <c r="V37" s="4">
        <f t="shared" si="28"/>
        <v>2296.7867960680001</v>
      </c>
      <c r="W37" s="97">
        <f t="shared" si="56"/>
        <v>0.15001902034987968</v>
      </c>
      <c r="X37" s="97">
        <f t="shared" si="38"/>
        <v>-4.9649579592832338E-2</v>
      </c>
      <c r="Y37" s="4">
        <v>292.38115264099997</v>
      </c>
      <c r="Z37" s="4">
        <f t="shared" si="29"/>
        <v>3066.363609262</v>
      </c>
      <c r="AA37" s="97">
        <f t="shared" si="57"/>
        <v>7.0360663398687961E-2</v>
      </c>
      <c r="AB37" s="97">
        <f t="shared" si="39"/>
        <v>8.12900158024914E-2</v>
      </c>
      <c r="AC37" s="4">
        <v>43.353914229000004</v>
      </c>
      <c r="AD37" s="4">
        <f t="shared" si="4"/>
        <v>6.5355201358242188E-2</v>
      </c>
      <c r="AE37" s="4">
        <v>20.174679962999999</v>
      </c>
      <c r="AF37" s="4">
        <f t="shared" si="5"/>
        <v>3.0412946437901635E-2</v>
      </c>
      <c r="AG37" s="4">
        <v>175.97657065299998</v>
      </c>
      <c r="AH37" s="4">
        <f t="shared" si="6"/>
        <v>28.484715339130592</v>
      </c>
      <c r="AI37" s="4">
        <v>122.90430777200001</v>
      </c>
      <c r="AJ37" s="4">
        <f t="shared" si="7"/>
        <v>17.676129399689444</v>
      </c>
      <c r="AK37" s="101">
        <f>SUMIFS($AJ$3:$AJ37,$D$3:$D37,D37)</f>
        <v>210.5780020096484</v>
      </c>
      <c r="AL37" s="4">
        <v>18.560992979000002</v>
      </c>
      <c r="AM37" s="4">
        <f t="shared" si="8"/>
        <v>2.669446821116841</v>
      </c>
      <c r="AN37" s="101">
        <f>SUMIFS($AM$3:$AM37,$D$3:$D37,D37)</f>
        <v>14.458911857213327</v>
      </c>
      <c r="AO37" s="4">
        <f t="shared" si="21"/>
        <v>34.511269901999967</v>
      </c>
      <c r="AP37" s="56">
        <v>598.76987387800011</v>
      </c>
      <c r="AQ37" s="4">
        <f t="shared" si="9"/>
        <v>0.90263419971361147</v>
      </c>
      <c r="AR37" s="4">
        <f>SUMIFS($AP$3:$AP37,$D$3:$D37,D37)</f>
        <v>5710.2367507010003</v>
      </c>
      <c r="AS37" s="4">
        <f t="shared" si="30"/>
        <v>6538.1885527649993</v>
      </c>
      <c r="AT37" s="97">
        <f t="shared" si="40"/>
        <v>0.21493700677711569</v>
      </c>
      <c r="AU37" s="97">
        <f t="shared" si="41"/>
        <v>0.18906374795824465</v>
      </c>
      <c r="AV37" s="98">
        <f t="shared" si="52"/>
        <v>0.16443540091572517</v>
      </c>
      <c r="AW37" s="4">
        <v>264.86731103600005</v>
      </c>
      <c r="AX37" s="4">
        <f>SUMIFS($AW$3:$AW37,$D$3:$D37,D37)</f>
        <v>2772.4185846140003</v>
      </c>
      <c r="AY37" s="4">
        <f t="shared" si="31"/>
        <v>3226.3412732449997</v>
      </c>
      <c r="AZ37" s="97">
        <f t="shared" si="42"/>
        <v>5.9342624937068322E-2</v>
      </c>
      <c r="BA37" s="97">
        <f t="shared" si="43"/>
        <v>0.10589981727852971</v>
      </c>
      <c r="BB37" s="97">
        <f t="shared" si="58"/>
        <v>0.10842232794365692</v>
      </c>
      <c r="BC37" s="4">
        <v>196.004267774</v>
      </c>
      <c r="BD37" s="4">
        <f t="shared" si="22"/>
        <v>68.863043262000048</v>
      </c>
      <c r="BE37" s="4">
        <v>70.704914759999994</v>
      </c>
      <c r="BF37" s="4">
        <v>36.488992515999996</v>
      </c>
      <c r="BG37" s="4">
        <f t="shared" si="10"/>
        <v>5.2478563613378526</v>
      </c>
      <c r="BH37" s="4">
        <f>Datos1[[#This Row],[Intereses]]/Datos1[[#This Row],[PIB nominal (miles de millones de G.)]]*100</f>
        <v>5.5006462407202535E-2</v>
      </c>
      <c r="BI37" s="4">
        <v>120.467638358</v>
      </c>
      <c r="BJ37" s="4">
        <v>93.447664113000002</v>
      </c>
      <c r="BK37" s="4">
        <v>12.793353095000002</v>
      </c>
      <c r="BL37" s="56">
        <f t="shared" si="60"/>
        <v>145.48892786199985</v>
      </c>
      <c r="BM37" s="56">
        <f>SUMIFS($BL$3:$BL37,$D$3:$D37,D37)</f>
        <v>1869.0390194169993</v>
      </c>
      <c r="BN37" s="56">
        <f t="shared" si="24"/>
        <v>1744.3256287909994</v>
      </c>
      <c r="BO37" s="100">
        <f t="shared" si="44"/>
        <v>-0.40000262112739249</v>
      </c>
      <c r="BP37" s="100">
        <f t="shared" si="45"/>
        <v>-0.1277979490020259</v>
      </c>
      <c r="BQ37" s="100">
        <f t="shared" si="53"/>
        <v>-0.19521843981827602</v>
      </c>
      <c r="BR37" s="2">
        <f t="shared" si="12"/>
        <v>0.21932179238975008</v>
      </c>
      <c r="BS37" s="2">
        <f>+Datos1[[#This Row],[RON acumulado 12 meses]]/Datos1[[#This Row],[PIB nominal (miles de millones de G.)]]*100</f>
        <v>2.6295377183664206</v>
      </c>
      <c r="BT37" s="56">
        <v>244.30488539699996</v>
      </c>
      <c r="BU37" s="56">
        <f>SUMIFS($BT$3:$BT37,$D$3:$D37,D37)</f>
        <v>1100.7125269810001</v>
      </c>
      <c r="BV37" s="56">
        <f t="shared" si="32"/>
        <v>1405.2103709799999</v>
      </c>
      <c r="BW37" s="100">
        <f t="shared" si="46"/>
        <v>0.10655426664839585</v>
      </c>
      <c r="BX37" s="100">
        <f t="shared" si="47"/>
        <v>1.5067822188410851E-2</v>
      </c>
      <c r="BY37" s="100">
        <f t="shared" si="54"/>
        <v>4.706493569419079E-2</v>
      </c>
      <c r="BZ37" s="56">
        <f t="shared" si="13"/>
        <v>35.135991939881201</v>
      </c>
      <c r="CA37" s="56">
        <f>Datos1[[#This Row],[Adquisición Neta de Activos no Financieros]]/Datos1[[#This Row],[PIB nominal (miles de millones de G.)]]*100</f>
        <v>0.36828496946287137</v>
      </c>
      <c r="CB37" s="56">
        <f>+Datos1[[#This Row],[ANANF acumulado por año]]/Datos1[[#This Row],[PIB nominal (miles de millones de G.)]]*100</f>
        <v>1.6593032052054721</v>
      </c>
      <c r="CC37" s="56">
        <f>+Datos1[[#This Row],[ANANF acumulado 12 meses]]/Datos1[[#This Row],[PIB nominal (miles de millones de G.)]]*100</f>
        <v>2.1183279152371566</v>
      </c>
      <c r="CD37" s="4">
        <v>81.370511893999989</v>
      </c>
      <c r="CE37" s="4">
        <f t="shared" si="14"/>
        <v>11.702728111251679</v>
      </c>
      <c r="CF37" s="4">
        <f t="shared" si="15"/>
        <v>162.93437350299996</v>
      </c>
      <c r="CG37" s="4">
        <f t="shared" si="16"/>
        <v>23.433263828629521</v>
      </c>
      <c r="CH37" s="56">
        <f t="shared" si="17"/>
        <v>-98.815957535000109</v>
      </c>
      <c r="CI37" s="56">
        <f>SUMIFS($CH$3:$CH37,$D$3:$D37,D37)</f>
        <v>768.32649243599917</v>
      </c>
      <c r="CJ37" s="56">
        <f t="shared" si="25"/>
        <v>339.11525781099937</v>
      </c>
      <c r="CK37" s="56">
        <f>Datos1[[#This Row],[Resultado Fiscal (miles de millones de G.)]]*1000/$F$207</f>
        <v>-14.211736625075458</v>
      </c>
      <c r="CL37" s="56">
        <f t="shared" si="33"/>
        <v>48.771644274635236</v>
      </c>
      <c r="CM37" s="100">
        <f t="shared" si="48"/>
        <v>-5.5531526204967738</v>
      </c>
      <c r="CN37" s="100">
        <f t="shared" si="49"/>
        <v>-0.27415260758977911</v>
      </c>
      <c r="CO37" s="100">
        <f t="shared" si="55"/>
        <v>-0.58915302415369064</v>
      </c>
      <c r="CP37" s="4">
        <f t="shared" si="18"/>
        <v>-0.14896317707312129</v>
      </c>
      <c r="CQ37" s="4">
        <f t="shared" si="26"/>
        <v>0.51120980312926356</v>
      </c>
      <c r="CR37" s="73">
        <v>292.93388567699998</v>
      </c>
      <c r="CS37" s="113">
        <f>SUM(Datos1[[#This Row],[FFPP]:[MTESS]])</f>
        <v>0</v>
      </c>
      <c r="CT37" s="113"/>
      <c r="CU37" s="113"/>
      <c r="CV37" s="113"/>
      <c r="CW37" s="113"/>
      <c r="CX37" s="113"/>
      <c r="CY37" s="113"/>
      <c r="CZ37" s="113"/>
    </row>
    <row r="38" spans="1:104">
      <c r="A38">
        <v>36</v>
      </c>
      <c r="B38" s="3">
        <v>38687</v>
      </c>
      <c r="C38" s="14" t="str">
        <f t="shared" si="0"/>
        <v>Diciembre</v>
      </c>
      <c r="D38" s="14">
        <f t="shared" si="19"/>
        <v>2005</v>
      </c>
      <c r="E38" s="15">
        <f t="shared" si="1"/>
        <v>66335.828408449219</v>
      </c>
      <c r="F38" s="15">
        <f t="shared" si="59"/>
        <v>6177.929761904762</v>
      </c>
      <c r="G38" s="56">
        <v>850.43727976600007</v>
      </c>
      <c r="H38" s="4">
        <f t="shared" si="20"/>
        <v>1.282018028823892</v>
      </c>
      <c r="I38" s="4">
        <f>SUMIFS($G$3:$G38,$D$3:$D38,D38)</f>
        <v>8429.7130498840015</v>
      </c>
      <c r="J38" s="2">
        <f t="shared" si="27"/>
        <v>8429.7130498840015</v>
      </c>
      <c r="K38" s="95">
        <f t="shared" si="34"/>
        <v>0.10214920563284724</v>
      </c>
      <c r="L38" s="95">
        <f t="shared" si="35"/>
        <v>0.20931573977451556</v>
      </c>
      <c r="M38" s="95">
        <f t="shared" si="50"/>
        <v>0.10214920563284724</v>
      </c>
      <c r="N38" s="4">
        <v>515.92080450700007</v>
      </c>
      <c r="O38" s="4">
        <f t="shared" si="3"/>
        <v>0.7777408029493863</v>
      </c>
      <c r="P38" s="4">
        <f>SUMIFS($N$3:$N38,$D$3:$D38,D38)</f>
        <v>5470.22275111</v>
      </c>
      <c r="Q38" s="4">
        <f t="shared" si="23"/>
        <v>5470.22275111</v>
      </c>
      <c r="R38" s="97">
        <f t="shared" si="36"/>
        <v>0.24419728328275792</v>
      </c>
      <c r="S38" s="97">
        <f t="shared" si="37"/>
        <v>0.10976652832874834</v>
      </c>
      <c r="T38" s="97">
        <f t="shared" si="51"/>
        <v>0.10976652832874834</v>
      </c>
      <c r="U38" s="4">
        <v>183.296456992</v>
      </c>
      <c r="V38" s="4">
        <f t="shared" si="28"/>
        <v>2342.4323386120004</v>
      </c>
      <c r="W38" s="97">
        <f t="shared" si="56"/>
        <v>0.16569341386326553</v>
      </c>
      <c r="X38" s="97">
        <f t="shared" si="38"/>
        <v>0.3316036273863141</v>
      </c>
      <c r="Y38" s="4">
        <v>338.14525925300001</v>
      </c>
      <c r="Z38" s="4">
        <f t="shared" si="29"/>
        <v>3138.0400307750001</v>
      </c>
      <c r="AA38" s="97">
        <f t="shared" si="57"/>
        <v>7.7309829264108121E-2</v>
      </c>
      <c r="AB38" s="97">
        <f t="shared" si="39"/>
        <v>0.26898613031418117</v>
      </c>
      <c r="AC38" s="4">
        <v>86.514627720999997</v>
      </c>
      <c r="AD38" s="4">
        <f t="shared" si="4"/>
        <v>0.13041915627902312</v>
      </c>
      <c r="AE38" s="4">
        <v>28.806789906999999</v>
      </c>
      <c r="AF38" s="4">
        <f t="shared" si="5"/>
        <v>4.3425688045422628E-2</v>
      </c>
      <c r="AG38" s="4">
        <v>219.19505763099997</v>
      </c>
      <c r="AH38" s="4">
        <f t="shared" si="6"/>
        <v>35.480341486339327</v>
      </c>
      <c r="AI38" s="4">
        <v>128.694355374</v>
      </c>
      <c r="AJ38" s="4">
        <f t="shared" si="7"/>
        <v>18.508855546548141</v>
      </c>
      <c r="AK38" s="101">
        <f>SUMIFS($AJ$3:$AJ38,$D$3:$D38,D38)</f>
        <v>229.08685755619655</v>
      </c>
      <c r="AL38" s="4">
        <v>0</v>
      </c>
      <c r="AM38" s="4">
        <f t="shared" si="8"/>
        <v>0</v>
      </c>
      <c r="AN38" s="101">
        <f>SUMIFS($AM$3:$AM38,$D$3:$D38,D38)</f>
        <v>14.458911857213327</v>
      </c>
      <c r="AO38" s="4">
        <f t="shared" si="21"/>
        <v>90.500702256999972</v>
      </c>
      <c r="AP38" s="56">
        <v>940.22431259599978</v>
      </c>
      <c r="AQ38" s="4">
        <f t="shared" si="9"/>
        <v>1.4173702735824176</v>
      </c>
      <c r="AR38" s="4">
        <f>SUMIFS($AP$3:$AP38,$D$3:$D38,D38)</f>
        <v>6650.4610632969998</v>
      </c>
      <c r="AS38" s="4">
        <f t="shared" si="30"/>
        <v>6650.4610632969998</v>
      </c>
      <c r="AT38" s="97">
        <f t="shared" si="40"/>
        <v>0.13560271292618231</v>
      </c>
      <c r="AU38" s="97">
        <f t="shared" si="41"/>
        <v>0.18120207695895529</v>
      </c>
      <c r="AV38" s="98">
        <f t="shared" si="52"/>
        <v>0.18120207695895529</v>
      </c>
      <c r="AW38" s="4">
        <v>537.32435833099998</v>
      </c>
      <c r="AX38" s="4">
        <f>SUMIFS($AW$3:$AW38,$D$3:$D38,D38)</f>
        <v>3309.7429429450003</v>
      </c>
      <c r="AY38" s="4">
        <f t="shared" si="31"/>
        <v>3309.7429429450003</v>
      </c>
      <c r="AZ38" s="97">
        <f t="shared" si="42"/>
        <v>0.18373540646653708</v>
      </c>
      <c r="BA38" s="97">
        <f t="shared" si="43"/>
        <v>0.11783262447982756</v>
      </c>
      <c r="BB38" s="97">
        <f t="shared" si="58"/>
        <v>0.11783262447982756</v>
      </c>
      <c r="BC38" s="4">
        <v>226.58819706400001</v>
      </c>
      <c r="BD38" s="4">
        <f t="shared" si="22"/>
        <v>310.73616126699994</v>
      </c>
      <c r="BE38" s="4">
        <v>75.954992739999994</v>
      </c>
      <c r="BF38" s="4">
        <v>51.857412732</v>
      </c>
      <c r="BG38" s="4">
        <f t="shared" si="10"/>
        <v>7.4581465401879328</v>
      </c>
      <c r="BH38" s="4">
        <f>Datos1[[#This Row],[Intereses]]/Datos1[[#This Row],[PIB nominal (miles de millones de G.)]]*100</f>
        <v>7.8174063663905197E-2</v>
      </c>
      <c r="BI38" s="4">
        <v>134.88374772499998</v>
      </c>
      <c r="BJ38" s="4">
        <v>124.14292353099998</v>
      </c>
      <c r="BK38" s="4">
        <v>16.060877537000003</v>
      </c>
      <c r="BL38" s="56">
        <f t="shared" si="60"/>
        <v>-89.787032829999703</v>
      </c>
      <c r="BM38" s="56">
        <f>SUMIFS($BL$3:$BL38,$D$3:$D38,D38)</f>
        <v>1779.2519865869995</v>
      </c>
      <c r="BN38" s="56">
        <f t="shared" si="24"/>
        <v>1779.2519865869995</v>
      </c>
      <c r="BO38" s="100">
        <f t="shared" si="44"/>
        <v>-0.28005298886260011</v>
      </c>
      <c r="BP38" s="100">
        <f t="shared" si="45"/>
        <v>-0.11838936810146794</v>
      </c>
      <c r="BQ38" s="100">
        <f t="shared" si="53"/>
        <v>-0.11838936810146794</v>
      </c>
      <c r="BR38" s="2">
        <f t="shared" si="12"/>
        <v>-0.13535224475852553</v>
      </c>
      <c r="BS38" s="2">
        <f>+Datos1[[#This Row],[RON acumulado 12 meses]]/Datos1[[#This Row],[PIB nominal (miles de millones de G.)]]*100</f>
        <v>2.6821885386455437</v>
      </c>
      <c r="BT38" s="56">
        <v>348.215785568</v>
      </c>
      <c r="BU38" s="56">
        <f>SUMIFS($BT$3:$BT38,$D$3:$D38,D38)</f>
        <v>1448.9283125490001</v>
      </c>
      <c r="BV38" s="56">
        <f t="shared" si="32"/>
        <v>1448.9283125490001</v>
      </c>
      <c r="BW38" s="100">
        <f t="shared" si="46"/>
        <v>0.14357389528558895</v>
      </c>
      <c r="BX38" s="100">
        <f t="shared" si="47"/>
        <v>4.3241652472596037E-2</v>
      </c>
      <c r="BY38" s="100">
        <f t="shared" si="54"/>
        <v>4.3241652472596037E-2</v>
      </c>
      <c r="BZ38" s="56">
        <f t="shared" si="13"/>
        <v>50.080484535438977</v>
      </c>
      <c r="CA38" s="56">
        <f>Datos1[[#This Row],[Adquisición Neta de Activos no Financieros]]/Datos1[[#This Row],[PIB nominal (miles de millones de G.)]]*100</f>
        <v>0.52492867568327173</v>
      </c>
      <c r="CB38" s="56">
        <f>+Datos1[[#This Row],[ANANF acumulado por año]]/Datos1[[#This Row],[PIB nominal (miles de millones de G.)]]*100</f>
        <v>2.1842318808887438</v>
      </c>
      <c r="CC38" s="56">
        <f>+Datos1[[#This Row],[ANANF acumulado 12 meses]]/Datos1[[#This Row],[PIB nominal (miles de millones de G.)]]*100</f>
        <v>2.1842318808887438</v>
      </c>
      <c r="CD38" s="4">
        <v>176.38282100399999</v>
      </c>
      <c r="CE38" s="4">
        <f t="shared" si="14"/>
        <v>25.367423033965068</v>
      </c>
      <c r="CF38" s="4">
        <f t="shared" si="15"/>
        <v>171.83296456400001</v>
      </c>
      <c r="CG38" s="4">
        <f t="shared" si="16"/>
        <v>24.713061501473913</v>
      </c>
      <c r="CH38" s="56">
        <f t="shared" si="17"/>
        <v>-438.0028183979997</v>
      </c>
      <c r="CI38" s="56">
        <f>SUMIFS($CH$3:$CH38,$D$3:$D38,D38)</f>
        <v>330.32367403799947</v>
      </c>
      <c r="CJ38" s="56">
        <f t="shared" si="25"/>
        <v>330.32367403799947</v>
      </c>
      <c r="CK38" s="56">
        <f>Datos1[[#This Row],[Resultado Fiscal (miles de millones de G.)]]*1000/$F$207</f>
        <v>-62.99367886920836</v>
      </c>
      <c r="CL38" s="56">
        <f t="shared" si="33"/>
        <v>47.507236417686563</v>
      </c>
      <c r="CM38" s="100">
        <f t="shared" si="48"/>
        <v>2.0483116618978725E-2</v>
      </c>
      <c r="CN38" s="100">
        <f t="shared" si="49"/>
        <v>-0.47510367460770753</v>
      </c>
      <c r="CO38" s="100">
        <f t="shared" si="55"/>
        <v>-0.47510367460770753</v>
      </c>
      <c r="CP38" s="4">
        <f t="shared" si="18"/>
        <v>-0.6602809204417972</v>
      </c>
      <c r="CQ38" s="4">
        <f t="shared" si="26"/>
        <v>0.49795665775679981</v>
      </c>
      <c r="CR38" s="73">
        <v>541.56181832100003</v>
      </c>
      <c r="CS38" s="113">
        <f>SUM(Datos1[[#This Row],[FFPP]:[MTESS]])</f>
        <v>0</v>
      </c>
      <c r="CT38" s="113"/>
      <c r="CU38" s="113"/>
      <c r="CV38" s="113"/>
      <c r="CW38" s="113"/>
      <c r="CX38" s="113"/>
      <c r="CY38" s="113"/>
      <c r="CZ38" s="113"/>
    </row>
    <row r="39" spans="1:104">
      <c r="A39">
        <v>37</v>
      </c>
      <c r="B39" s="76">
        <v>38718</v>
      </c>
      <c r="C39" s="14" t="str">
        <f t="shared" si="0"/>
        <v>Enero</v>
      </c>
      <c r="D39" s="14">
        <f t="shared" si="19"/>
        <v>2006</v>
      </c>
      <c r="E39" s="15">
        <f t="shared" si="1"/>
        <v>75681.657797839813</v>
      </c>
      <c r="F39" s="15">
        <f t="shared" si="59"/>
        <v>5635.5078030303039</v>
      </c>
      <c r="G39" s="56">
        <v>804.5056445759999</v>
      </c>
      <c r="H39" s="4">
        <f t="shared" si="20"/>
        <v>1.0630127140250922</v>
      </c>
      <c r="I39" s="4">
        <f>SUMIFS($G$3:$G39,$D$3:$D39,D39)</f>
        <v>804.5056445759999</v>
      </c>
      <c r="J39" s="2">
        <f t="shared" si="27"/>
        <v>8675.6966548689998</v>
      </c>
      <c r="K39" s="95">
        <f t="shared" si="34"/>
        <v>0.44041879737661049</v>
      </c>
      <c r="L39" s="95">
        <f t="shared" si="35"/>
        <v>0.44041879737661049</v>
      </c>
      <c r="M39" s="95">
        <f t="shared" si="50"/>
        <v>0.10814023590321797</v>
      </c>
      <c r="N39" s="4">
        <v>494.29820367999997</v>
      </c>
      <c r="O39" s="4">
        <f t="shared" si="3"/>
        <v>0.65312813971433481</v>
      </c>
      <c r="P39" s="4">
        <f>SUMIFS($N$3:$N39,$D$3:$D39,D39)</f>
        <v>494.29820367999997</v>
      </c>
      <c r="Q39" s="4">
        <f t="shared" si="23"/>
        <v>5565.9324339200002</v>
      </c>
      <c r="R39" s="97">
        <f t="shared" si="36"/>
        <v>0.24012152332208214</v>
      </c>
      <c r="S39" s="97">
        <f t="shared" si="37"/>
        <v>0.24012152332208214</v>
      </c>
      <c r="T39" s="97">
        <f t="shared" si="51"/>
        <v>0.11125708766918252</v>
      </c>
      <c r="U39" s="4">
        <v>208.86438230200002</v>
      </c>
      <c r="V39" s="4">
        <f t="shared" si="28"/>
        <v>2381.1928305150004</v>
      </c>
      <c r="W39" s="97">
        <f t="shared" si="56"/>
        <v>0.16254614193402106</v>
      </c>
      <c r="X39" s="97">
        <f t="shared" si="38"/>
        <v>0.22786364151979366</v>
      </c>
      <c r="Y39" s="4">
        <v>271.11366888800001</v>
      </c>
      <c r="Z39" s="4">
        <f t="shared" si="29"/>
        <v>3186.379920503</v>
      </c>
      <c r="AA39" s="97">
        <f t="shared" si="57"/>
        <v>8.4203825486939055E-2</v>
      </c>
      <c r="AB39" s="97">
        <f t="shared" si="39"/>
        <v>0.21699093093573385</v>
      </c>
      <c r="AC39" s="4">
        <v>0</v>
      </c>
      <c r="AD39" s="4">
        <f t="shared" si="4"/>
        <v>0</v>
      </c>
      <c r="AE39" s="4">
        <v>16.466567721000001</v>
      </c>
      <c r="AF39" s="4">
        <f t="shared" si="5"/>
        <v>2.1757673127332056E-2</v>
      </c>
      <c r="AG39" s="4">
        <v>293.74087317499999</v>
      </c>
      <c r="AH39" s="4">
        <f t="shared" si="6"/>
        <v>52.123230672673508</v>
      </c>
      <c r="AI39" s="4">
        <v>126.497855774</v>
      </c>
      <c r="AJ39" s="4">
        <f t="shared" si="7"/>
        <v>18.192954404759103</v>
      </c>
      <c r="AK39" s="101">
        <f>SUMIFS($AJ$3:$AJ39,$D$3:$D39,D39)</f>
        <v>18.192954404759103</v>
      </c>
      <c r="AL39" s="4">
        <v>136.00196669600001</v>
      </c>
      <c r="AM39" s="4">
        <f t="shared" si="8"/>
        <v>19.559838100958945</v>
      </c>
      <c r="AN39" s="101">
        <f>SUMIFS($AM$3:$AM39,$D$3:$D39,D39)</f>
        <v>19.559838100958945</v>
      </c>
      <c r="AO39" s="4">
        <f t="shared" si="21"/>
        <v>31.241050704999964</v>
      </c>
      <c r="AP39" s="56">
        <v>515.57180654400008</v>
      </c>
      <c r="AQ39" s="4">
        <f t="shared" si="9"/>
        <v>0.68123746432879551</v>
      </c>
      <c r="AR39" s="4">
        <f>SUMIFS($AP$3:$AP39,$D$3:$D39,D39)</f>
        <v>515.57180654400008</v>
      </c>
      <c r="AS39" s="4">
        <f t="shared" si="30"/>
        <v>6778.1766964269991</v>
      </c>
      <c r="AT39" s="97">
        <f t="shared" si="40"/>
        <v>0.32928606500140845</v>
      </c>
      <c r="AU39" s="97">
        <f t="shared" si="41"/>
        <v>0.32928606500140845</v>
      </c>
      <c r="AV39" s="98">
        <f t="shared" si="52"/>
        <v>0.19145150334973415</v>
      </c>
      <c r="AW39" s="4">
        <v>287.76957635999997</v>
      </c>
      <c r="AX39" s="4">
        <f>SUMIFS($AW$3:$AW39,$D$3:$D39,D39)</f>
        <v>287.76957635999997</v>
      </c>
      <c r="AY39" s="4">
        <f t="shared" si="31"/>
        <v>3355.329616901</v>
      </c>
      <c r="AZ39" s="97">
        <f t="shared" si="42"/>
        <v>0.18823242063535117</v>
      </c>
      <c r="BA39" s="97">
        <f t="shared" si="43"/>
        <v>0.18823242063535117</v>
      </c>
      <c r="BB39" s="97">
        <f t="shared" si="58"/>
        <v>0.12271096928835834</v>
      </c>
      <c r="BC39" s="4">
        <v>218.515552762</v>
      </c>
      <c r="BD39" s="4">
        <f t="shared" si="22"/>
        <v>69.254023597999975</v>
      </c>
      <c r="BE39" s="4">
        <v>8.573030404999999</v>
      </c>
      <c r="BF39" s="4">
        <v>95.739914905999996</v>
      </c>
      <c r="BG39" s="4">
        <f t="shared" si="10"/>
        <v>13.769339376884341</v>
      </c>
      <c r="BH39" s="4">
        <f>Datos1[[#This Row],[Intereses]]/Datos1[[#This Row],[PIB nominal (miles de millones de G.)]]*100</f>
        <v>0.12650345895136128</v>
      </c>
      <c r="BI39" s="4">
        <v>24.842391468000002</v>
      </c>
      <c r="BJ39" s="4">
        <v>94.617402780000006</v>
      </c>
      <c r="BK39" s="4">
        <v>4.0294906250000002</v>
      </c>
      <c r="BL39" s="56">
        <f t="shared" si="60"/>
        <v>288.93383803199981</v>
      </c>
      <c r="BM39" s="56">
        <f>SUMIFS($BL$3:$BL39,$D$3:$D39,D39)</f>
        <v>288.93383803199981</v>
      </c>
      <c r="BN39" s="56">
        <f t="shared" si="24"/>
        <v>1897.5199584419995</v>
      </c>
      <c r="BO39" s="100">
        <f t="shared" si="44"/>
        <v>0.69297964791824529</v>
      </c>
      <c r="BP39" s="100">
        <f t="shared" si="45"/>
        <v>0.69297964791824529</v>
      </c>
      <c r="BQ39" s="100">
        <f t="shared" si="53"/>
        <v>-0.11333022515995117</v>
      </c>
      <c r="BR39" s="2">
        <f t="shared" si="12"/>
        <v>0.38177524969629678</v>
      </c>
      <c r="BS39" s="2">
        <f>+Datos1[[#This Row],[RON acumulado 12 meses]]/Datos1[[#This Row],[PIB nominal (miles de millones de G.)]]*100</f>
        <v>2.5072388920319879</v>
      </c>
      <c r="BT39" s="56">
        <v>11.755874277999999</v>
      </c>
      <c r="BU39" s="56">
        <f>SUMIFS($BT$3:$BT39,$D$3:$D39,D39)</f>
        <v>11.755874277999999</v>
      </c>
      <c r="BV39" s="56">
        <f t="shared" si="32"/>
        <v>1429.9194836040001</v>
      </c>
      <c r="BW39" s="100">
        <f t="shared" si="46"/>
        <v>-0.61787785850600407</v>
      </c>
      <c r="BX39" s="100">
        <f t="shared" si="47"/>
        <v>-0.61787785850600407</v>
      </c>
      <c r="BY39" s="100">
        <f t="shared" si="54"/>
        <v>7.8929986065494617E-3</v>
      </c>
      <c r="BZ39" s="56">
        <f t="shared" si="13"/>
        <v>1.6907328857007662</v>
      </c>
      <c r="CA39" s="56">
        <f>Datos1[[#This Row],[Adquisición Neta de Activos no Financieros]]/Datos1[[#This Row],[PIB nominal (miles de millones de G.)]]*100</f>
        <v>1.5533320252315545E-2</v>
      </c>
      <c r="CB39" s="56">
        <f>+Datos1[[#This Row],[ANANF acumulado por año]]/Datos1[[#This Row],[PIB nominal (miles de millones de G.)]]*100</f>
        <v>1.5533320252315545E-2</v>
      </c>
      <c r="CC39" s="56">
        <f>+Datos1[[#This Row],[ANANF acumulado 12 meses]]/Datos1[[#This Row],[PIB nominal (miles de millones de G.)]]*100</f>
        <v>1.8893871054246572</v>
      </c>
      <c r="CD39" s="4">
        <v>8.6370738000000002E-2</v>
      </c>
      <c r="CE39" s="4">
        <f t="shared" si="14"/>
        <v>1.2421861925839561E-2</v>
      </c>
      <c r="CF39" s="4">
        <f t="shared" si="15"/>
        <v>11.669503539999999</v>
      </c>
      <c r="CG39" s="4">
        <f t="shared" si="16"/>
        <v>1.6783110237749266</v>
      </c>
      <c r="CH39" s="56">
        <f t="shared" si="17"/>
        <v>277.17796375399979</v>
      </c>
      <c r="CI39" s="56">
        <f>SUMIFS($CH$3:$CH39,$D$3:$D39,D39)</f>
        <v>277.17796375399979</v>
      </c>
      <c r="CJ39" s="56">
        <f t="shared" si="25"/>
        <v>467.60047483799923</v>
      </c>
      <c r="CK39" s="56">
        <f>Datos1[[#This Row],[Resultado Fiscal (miles de millones de G.)]]*1000/$F$207</f>
        <v>39.863806589652476</v>
      </c>
      <c r="CL39" s="56">
        <f t="shared" si="33"/>
        <v>67.25042148991065</v>
      </c>
      <c r="CM39" s="100">
        <f t="shared" si="48"/>
        <v>0.98124131280550464</v>
      </c>
      <c r="CN39" s="100">
        <f t="shared" si="49"/>
        <v>0.98124131280550464</v>
      </c>
      <c r="CO39" s="100">
        <f t="shared" si="55"/>
        <v>-0.35175332857798347</v>
      </c>
      <c r="CP39" s="4">
        <f t="shared" si="18"/>
        <v>0.36624192944398121</v>
      </c>
      <c r="CQ39" s="4">
        <f t="shared" si="26"/>
        <v>0.61785178660733042</v>
      </c>
      <c r="CR39" s="73">
        <v>301.90087837200002</v>
      </c>
      <c r="CS39" s="113">
        <f>SUM(Datos1[[#This Row],[FFPP]:[MTESS]])</f>
        <v>0</v>
      </c>
      <c r="CT39" s="113"/>
      <c r="CU39" s="113"/>
      <c r="CV39" s="113"/>
      <c r="CW39" s="113"/>
      <c r="CX39" s="113"/>
      <c r="CY39" s="113"/>
      <c r="CZ39" s="113"/>
    </row>
    <row r="40" spans="1:104">
      <c r="A40">
        <v>38</v>
      </c>
      <c r="B40" s="3">
        <v>38749</v>
      </c>
      <c r="C40" s="14" t="str">
        <f t="shared" si="0"/>
        <v>Febrero</v>
      </c>
      <c r="D40" s="14">
        <f t="shared" si="19"/>
        <v>2006</v>
      </c>
      <c r="E40" s="15">
        <f t="shared" si="1"/>
        <v>75681.657797839813</v>
      </c>
      <c r="F40" s="15">
        <f t="shared" si="59"/>
        <v>5635.5078030303039</v>
      </c>
      <c r="G40" s="56">
        <v>702.33640622000007</v>
      </c>
      <c r="H40" s="4">
        <f t="shared" si="20"/>
        <v>0.92801403491460899</v>
      </c>
      <c r="I40" s="4">
        <f>SUMIFS($G$3:$G40,$D$3:$D40,D40)</f>
        <v>1506.842050796</v>
      </c>
      <c r="J40" s="2">
        <f t="shared" si="27"/>
        <v>8783.4618688940009</v>
      </c>
      <c r="K40" s="95">
        <f t="shared" si="34"/>
        <v>0.30678249534262392</v>
      </c>
      <c r="L40" s="95">
        <f t="shared" si="35"/>
        <v>0.18124863000368263</v>
      </c>
      <c r="M40" s="95">
        <f t="shared" si="50"/>
        <v>0.10891989352256304</v>
      </c>
      <c r="N40" s="4">
        <v>436.61665817900001</v>
      </c>
      <c r="O40" s="4">
        <f t="shared" si="3"/>
        <v>0.57691212228105071</v>
      </c>
      <c r="P40" s="4">
        <f>SUMIFS($N$3:$N40,$D$3:$D40,D40)</f>
        <v>930.91486185899998</v>
      </c>
      <c r="Q40" s="4">
        <f t="shared" si="23"/>
        <v>5634.1708312350011</v>
      </c>
      <c r="R40" s="97">
        <f t="shared" si="36"/>
        <v>0.18524002245667992</v>
      </c>
      <c r="S40" s="97">
        <f t="shared" si="37"/>
        <v>0.21376164395847397</v>
      </c>
      <c r="T40" s="97">
        <f t="shared" si="51"/>
        <v>0.11091583802351845</v>
      </c>
      <c r="U40" s="4">
        <v>186.84992196000002</v>
      </c>
      <c r="V40" s="4">
        <f t="shared" si="28"/>
        <v>2417.6666596919999</v>
      </c>
      <c r="W40" s="97">
        <f t="shared" si="56"/>
        <v>0.16592440059327118</v>
      </c>
      <c r="X40" s="97">
        <f t="shared" si="38"/>
        <v>0.24255071735128442</v>
      </c>
      <c r="Y40" s="4">
        <v>260.83586317499999</v>
      </c>
      <c r="Z40" s="4">
        <f t="shared" si="29"/>
        <v>3224.0273742650006</v>
      </c>
      <c r="AA40" s="97">
        <f t="shared" si="57"/>
        <v>8.403095449856135E-2</v>
      </c>
      <c r="AB40" s="97">
        <f t="shared" si="39"/>
        <v>0.16868014723979274</v>
      </c>
      <c r="AC40" s="4">
        <v>81.316993577000005</v>
      </c>
      <c r="AD40" s="4">
        <f t="shared" si="4"/>
        <v>0.10744610509750362</v>
      </c>
      <c r="AE40" s="4">
        <v>15.857620404</v>
      </c>
      <c r="AF40" s="4">
        <f t="shared" si="5"/>
        <v>2.0953056348684562E-2</v>
      </c>
      <c r="AG40" s="4">
        <v>168.54513406000001</v>
      </c>
      <c r="AH40" s="4">
        <f t="shared" si="6"/>
        <v>29.907710174648425</v>
      </c>
      <c r="AI40" s="4">
        <v>134.78256202899999</v>
      </c>
      <c r="AJ40" s="4">
        <f t="shared" si="7"/>
        <v>19.384463005690005</v>
      </c>
      <c r="AK40" s="101">
        <f>SUMIFS($AJ$3:$AJ40,$D$3:$D40,D40)</f>
        <v>37.577417410449108</v>
      </c>
      <c r="AL40" s="4">
        <v>0</v>
      </c>
      <c r="AM40" s="4">
        <f t="shared" si="8"/>
        <v>0</v>
      </c>
      <c r="AN40" s="101">
        <f>SUMIFS($AM$3:$AM40,$D$3:$D40,D40)</f>
        <v>19.559838100958945</v>
      </c>
      <c r="AO40" s="4">
        <f t="shared" si="21"/>
        <v>33.762572031000019</v>
      </c>
      <c r="AP40" s="56">
        <v>485.86119095599992</v>
      </c>
      <c r="AQ40" s="4">
        <f t="shared" si="9"/>
        <v>0.64198011128908949</v>
      </c>
      <c r="AR40" s="4">
        <f>SUMIFS($AP$3:$AP40,$D$3:$D40,D40)</f>
        <v>1001.4329975000001</v>
      </c>
      <c r="AS40" s="4">
        <f t="shared" si="30"/>
        <v>6765.8853946259997</v>
      </c>
      <c r="AT40" s="97">
        <f t="shared" si="40"/>
        <v>-2.4673773552701839E-2</v>
      </c>
      <c r="AU40" s="97">
        <f t="shared" si="41"/>
        <v>0.1302744947493808</v>
      </c>
      <c r="AV40" s="98">
        <f t="shared" si="52"/>
        <v>0.16657099543201537</v>
      </c>
      <c r="AW40" s="4">
        <v>294.79974197499996</v>
      </c>
      <c r="AX40" s="4">
        <f>SUMIFS($AW$3:$AW40,$D$3:$D40,D40)</f>
        <v>582.56931833499993</v>
      </c>
      <c r="AY40" s="4">
        <f t="shared" si="31"/>
        <v>3397.5765591549998</v>
      </c>
      <c r="AZ40" s="97">
        <f t="shared" si="42"/>
        <v>0.16727964330892764</v>
      </c>
      <c r="BA40" s="97">
        <f t="shared" si="43"/>
        <v>0.17753644184710105</v>
      </c>
      <c r="BB40" s="97">
        <f t="shared" si="58"/>
        <v>0.12549225450961288</v>
      </c>
      <c r="BC40" s="4">
        <v>218.57959697999999</v>
      </c>
      <c r="BD40" s="4">
        <f t="shared" si="22"/>
        <v>76.22014499499997</v>
      </c>
      <c r="BE40" s="4">
        <v>20.606430791999998</v>
      </c>
      <c r="BF40" s="4">
        <v>24.579515886999999</v>
      </c>
      <c r="BG40" s="4">
        <f t="shared" si="10"/>
        <v>3.5350323457036326</v>
      </c>
      <c r="BH40" s="4">
        <f>Datos1[[#This Row],[Intereses]]/Datos1[[#This Row],[PIB nominal (miles de millones de G.)]]*100</f>
        <v>3.2477507235183181E-2</v>
      </c>
      <c r="BI40" s="4">
        <v>36.557931701000001</v>
      </c>
      <c r="BJ40" s="4">
        <v>99.534505339000006</v>
      </c>
      <c r="BK40" s="4">
        <v>9.7830652620000009</v>
      </c>
      <c r="BL40" s="56">
        <f t="shared" si="60"/>
        <v>216.47521526400016</v>
      </c>
      <c r="BM40" s="56">
        <f>SUMIFS($BL$3:$BL40,$D$3:$D40,D40)</f>
        <v>505.40905329599997</v>
      </c>
      <c r="BN40" s="56">
        <f t="shared" si="24"/>
        <v>2017.5764742679999</v>
      </c>
      <c r="BO40" s="100">
        <f t="shared" si="44"/>
        <v>1.2451580090353751</v>
      </c>
      <c r="BP40" s="100">
        <f t="shared" si="45"/>
        <v>0.89231845775971474</v>
      </c>
      <c r="BQ40" s="100">
        <f t="shared" si="53"/>
        <v>-4.8730370281244717E-2</v>
      </c>
      <c r="BR40" s="2">
        <f t="shared" si="12"/>
        <v>0.28603392362551949</v>
      </c>
      <c r="BS40" s="2">
        <f>+Datos1[[#This Row],[RON acumulado 12 meses]]/Datos1[[#This Row],[PIB nominal (miles de millones de G.)]]*100</f>
        <v>2.6658724623307442</v>
      </c>
      <c r="BT40" s="56">
        <v>29.162966730999997</v>
      </c>
      <c r="BU40" s="56">
        <f>SUMIFS($BT$3:$BT40,$D$3:$D40,D40)</f>
        <v>40.918841008999998</v>
      </c>
      <c r="BV40" s="56">
        <f t="shared" si="32"/>
        <v>1429.074775628</v>
      </c>
      <c r="BW40" s="100">
        <f t="shared" si="46"/>
        <v>-2.8149731168705117E-2</v>
      </c>
      <c r="BX40" s="100">
        <f t="shared" si="47"/>
        <v>-0.32668685342324566</v>
      </c>
      <c r="BY40" s="100">
        <f t="shared" si="54"/>
        <v>-7.4941402813855085E-4</v>
      </c>
      <c r="BZ40" s="56">
        <f t="shared" si="13"/>
        <v>4.1942254340854959</v>
      </c>
      <c r="CA40" s="56">
        <f>Datos1[[#This Row],[Adquisición Neta de Activos no Financieros]]/Datos1[[#This Row],[PIB nominal (miles de millones de G.)]]*100</f>
        <v>3.8533731394864344E-2</v>
      </c>
      <c r="CB40" s="56">
        <f>+Datos1[[#This Row],[ANANF acumulado por año]]/Datos1[[#This Row],[PIB nominal (miles de millones de G.)]]*100</f>
        <v>5.4067051647179884E-2</v>
      </c>
      <c r="CC40" s="56">
        <f>+Datos1[[#This Row],[ANANF acumulado 12 meses]]/Datos1[[#This Row],[PIB nominal (miles de millones de G.)]]*100</f>
        <v>1.888270972400383</v>
      </c>
      <c r="CD40" s="4">
        <v>11.443782362</v>
      </c>
      <c r="CE40" s="4">
        <f t="shared" si="14"/>
        <v>1.6458477454496465</v>
      </c>
      <c r="CF40" s="4">
        <f t="shared" si="15"/>
        <v>17.719184368999997</v>
      </c>
      <c r="CG40" s="4">
        <f t="shared" si="16"/>
        <v>2.5483776886358496</v>
      </c>
      <c r="CH40" s="56">
        <f t="shared" si="17"/>
        <v>187.31224853300017</v>
      </c>
      <c r="CI40" s="56">
        <f>SUMIFS($CH$3:$CH40,$D$3:$D40,D40)</f>
        <v>464.49021228699996</v>
      </c>
      <c r="CJ40" s="56">
        <f t="shared" si="25"/>
        <v>588.50169863999963</v>
      </c>
      <c r="CK40" s="56">
        <f>Datos1[[#This Row],[Resultado Fiscal (miles de millones de G.)]]*1000/$F$207</f>
        <v>26.939296134015574</v>
      </c>
      <c r="CL40" s="56">
        <f t="shared" si="33"/>
        <v>84.638466833849677</v>
      </c>
      <c r="CM40" s="100">
        <f t="shared" si="48"/>
        <v>1.8204992964905258</v>
      </c>
      <c r="CN40" s="100">
        <f t="shared" si="49"/>
        <v>1.2513949248417138</v>
      </c>
      <c r="CO40" s="100">
        <f t="shared" si="55"/>
        <v>-0.14806653712770479</v>
      </c>
      <c r="CP40" s="4">
        <f t="shared" si="18"/>
        <v>0.2475001922306552</v>
      </c>
      <c r="CQ40" s="4">
        <f t="shared" si="26"/>
        <v>0.77760148993036105</v>
      </c>
      <c r="CR40" s="73">
        <v>310.05111930300001</v>
      </c>
      <c r="CS40" s="113">
        <f>SUM(Datos1[[#This Row],[FFPP]:[MTESS]])</f>
        <v>0</v>
      </c>
      <c r="CT40" s="113"/>
      <c r="CU40" s="113"/>
      <c r="CV40" s="113"/>
      <c r="CW40" s="113"/>
      <c r="CX40" s="113"/>
      <c r="CY40" s="113"/>
      <c r="CZ40" s="113"/>
    </row>
    <row r="41" spans="1:104">
      <c r="A41">
        <v>39</v>
      </c>
      <c r="B41" s="3">
        <v>38777</v>
      </c>
      <c r="C41" s="14" t="str">
        <f t="shared" si="0"/>
        <v>Marzo</v>
      </c>
      <c r="D41" s="14">
        <f t="shared" si="19"/>
        <v>2006</v>
      </c>
      <c r="E41" s="15">
        <f t="shared" si="1"/>
        <v>75681.657797839813</v>
      </c>
      <c r="F41" s="15">
        <f t="shared" si="59"/>
        <v>5635.5078030303039</v>
      </c>
      <c r="G41" s="56">
        <v>745.36230624500013</v>
      </c>
      <c r="H41" s="4">
        <f t="shared" si="20"/>
        <v>0.98486519446495924</v>
      </c>
      <c r="I41" s="4">
        <f>SUMIFS($G$3:$G41,$D$3:$D41,D41)</f>
        <v>2252.2043570410001</v>
      </c>
      <c r="J41" s="2">
        <f t="shared" si="27"/>
        <v>8794.2907443439999</v>
      </c>
      <c r="K41" s="95">
        <f t="shared" si="34"/>
        <v>0.19314078450317274</v>
      </c>
      <c r="L41" s="95">
        <f t="shared" si="35"/>
        <v>1.4742522254269419E-2</v>
      </c>
      <c r="M41" s="95">
        <f t="shared" si="50"/>
        <v>9.3728838040573415E-2</v>
      </c>
      <c r="N41" s="4">
        <v>507.14859481000002</v>
      </c>
      <c r="O41" s="4">
        <f t="shared" si="3"/>
        <v>0.6701076714845372</v>
      </c>
      <c r="P41" s="4">
        <f>SUMIFS($N$3:$N41,$D$3:$D41,D41)</f>
        <v>1438.0634566690001</v>
      </c>
      <c r="Q41" s="4">
        <f t="shared" si="23"/>
        <v>5798.7481956330012</v>
      </c>
      <c r="R41" s="97">
        <f t="shared" si="36"/>
        <v>0.48041793877456618</v>
      </c>
      <c r="S41" s="97">
        <f t="shared" si="37"/>
        <v>0.29609210403489139</v>
      </c>
      <c r="T41" s="97">
        <f t="shared" si="51"/>
        <v>0.14836501275661873</v>
      </c>
      <c r="U41" s="4">
        <v>222.51596811899998</v>
      </c>
      <c r="V41" s="4">
        <f t="shared" si="28"/>
        <v>2500.203322289</v>
      </c>
      <c r="W41" s="97">
        <f t="shared" si="56"/>
        <v>0.20302779245118274</v>
      </c>
      <c r="X41" s="97">
        <f t="shared" si="38"/>
        <v>0.58963474843092434</v>
      </c>
      <c r="Y41" s="4">
        <v>270.75239723199996</v>
      </c>
      <c r="Z41" s="4">
        <f t="shared" si="29"/>
        <v>3256.6695721170004</v>
      </c>
      <c r="AA41" s="97">
        <f t="shared" si="57"/>
        <v>9.0356870607209094E-2</v>
      </c>
      <c r="AB41" s="97">
        <f t="shared" si="39"/>
        <v>0.1370886166867058</v>
      </c>
      <c r="AC41" s="4">
        <v>35.263075031</v>
      </c>
      <c r="AD41" s="4">
        <f t="shared" si="4"/>
        <v>4.6593951635143113E-2</v>
      </c>
      <c r="AE41" s="4">
        <v>3.9753878949999999</v>
      </c>
      <c r="AF41" s="4">
        <f t="shared" si="5"/>
        <v>5.2527759178043129E-3</v>
      </c>
      <c r="AG41" s="4">
        <v>198.97524850899998</v>
      </c>
      <c r="AH41" s="4">
        <f t="shared" si="6"/>
        <v>35.307421347550573</v>
      </c>
      <c r="AI41" s="4">
        <v>147.64483649499999</v>
      </c>
      <c r="AJ41" s="4">
        <f t="shared" si="7"/>
        <v>21.234318653199971</v>
      </c>
      <c r="AK41" s="101">
        <f>SUMIFS($AJ$3:$AJ41,$D$3:$D41,D41)</f>
        <v>58.811736063649079</v>
      </c>
      <c r="AL41" s="4">
        <v>10.190724968</v>
      </c>
      <c r="AM41" s="4">
        <f t="shared" si="8"/>
        <v>1.465632706261023</v>
      </c>
      <c r="AN41" s="101">
        <f>SUMIFS($AM$3:$AM41,$D$3:$D41,D41)</f>
        <v>21.025470807219968</v>
      </c>
      <c r="AO41" s="4">
        <f t="shared" si="21"/>
        <v>41.139687045999992</v>
      </c>
      <c r="AP41" s="56">
        <v>543.31373517099996</v>
      </c>
      <c r="AQ41" s="4">
        <f t="shared" si="9"/>
        <v>0.71789354379933756</v>
      </c>
      <c r="AR41" s="4">
        <f>SUMIFS($AP$3:$AP41,$D$3:$D41,D41)</f>
        <v>1544.746732671</v>
      </c>
      <c r="AS41" s="4">
        <f t="shared" si="30"/>
        <v>6843.946322971</v>
      </c>
      <c r="AT41" s="97">
        <f t="shared" si="40"/>
        <v>0.16778174618126251</v>
      </c>
      <c r="AU41" s="97">
        <f t="shared" si="41"/>
        <v>0.14318861563103957</v>
      </c>
      <c r="AV41" s="98">
        <f t="shared" si="52"/>
        <v>0.16961778902961755</v>
      </c>
      <c r="AW41" s="4">
        <v>292.98106416499996</v>
      </c>
      <c r="AX41" s="4">
        <f>SUMIFS($AW$3:$AW41,$D$3:$D41,D41)</f>
        <v>875.55038249999984</v>
      </c>
      <c r="AY41" s="4">
        <f t="shared" si="31"/>
        <v>3445.824543832</v>
      </c>
      <c r="AZ41" s="97">
        <f t="shared" si="42"/>
        <v>0.19714533392027889</v>
      </c>
      <c r="BA41" s="97">
        <f t="shared" si="43"/>
        <v>0.18402616076660538</v>
      </c>
      <c r="BB41" s="97">
        <f t="shared" si="58"/>
        <v>0.13473763399998151</v>
      </c>
      <c r="BC41" s="4">
        <v>219.907411833</v>
      </c>
      <c r="BD41" s="4">
        <f t="shared" si="22"/>
        <v>73.073652331999966</v>
      </c>
      <c r="BE41" s="4">
        <v>42.965076180999993</v>
      </c>
      <c r="BF41" s="4">
        <v>37.038721946999999</v>
      </c>
      <c r="BG41" s="4">
        <f t="shared" si="10"/>
        <v>5.3269185905902221</v>
      </c>
      <c r="BH41" s="4">
        <f>Datos1[[#This Row],[Intereses]]/Datos1[[#This Row],[PIB nominal (miles de millones de G.)]]*100</f>
        <v>4.8940156736441358E-2</v>
      </c>
      <c r="BI41" s="4">
        <v>60.242387827999998</v>
      </c>
      <c r="BJ41" s="4">
        <v>98.575673800999994</v>
      </c>
      <c r="BK41" s="4">
        <v>11.510811249</v>
      </c>
      <c r="BL41" s="56">
        <f t="shared" si="60"/>
        <v>202.04857107400017</v>
      </c>
      <c r="BM41" s="56">
        <f>SUMIFS($BL$3:$BL41,$D$3:$D41,D41)</f>
        <v>707.45762437000008</v>
      </c>
      <c r="BN41" s="56">
        <f t="shared" si="24"/>
        <v>1950.3444213729997</v>
      </c>
      <c r="BO41" s="100">
        <f t="shared" si="44"/>
        <v>-0.24967282050987682</v>
      </c>
      <c r="BP41" s="100">
        <f t="shared" si="45"/>
        <v>0.31898497163601913</v>
      </c>
      <c r="BQ41" s="100">
        <f t="shared" si="53"/>
        <v>-0.10911107930977981</v>
      </c>
      <c r="BR41" s="2">
        <f t="shared" si="12"/>
        <v>0.26697165066562173</v>
      </c>
      <c r="BS41" s="2">
        <f>+Datos1[[#This Row],[RON acumulado 12 meses]]/Datos1[[#This Row],[PIB nominal (miles de millones de G.)]]*100</f>
        <v>2.5770371291056318</v>
      </c>
      <c r="BT41" s="56">
        <v>162.735234835</v>
      </c>
      <c r="BU41" s="56">
        <f>SUMIFS($BT$3:$BT41,$D$3:$D41,D41)</f>
        <v>203.654075844</v>
      </c>
      <c r="BV41" s="56">
        <f t="shared" si="32"/>
        <v>1512.7713257510002</v>
      </c>
      <c r="BW41" s="100">
        <f t="shared" si="46"/>
        <v>1.0589314641048531</v>
      </c>
      <c r="BX41" s="100">
        <f t="shared" si="47"/>
        <v>0.45663777955451446</v>
      </c>
      <c r="BY41" s="100">
        <f t="shared" si="54"/>
        <v>7.3270341158240049E-2</v>
      </c>
      <c r="BZ41" s="56">
        <f t="shared" si="13"/>
        <v>23.404623653782444</v>
      </c>
      <c r="CA41" s="56">
        <f>Datos1[[#This Row],[Adquisición Neta de Activos no Financieros]]/Datos1[[#This Row],[PIB nominal (miles de millones de G.)]]*100</f>
        <v>0.21502599119815391</v>
      </c>
      <c r="CB41" s="56">
        <f>+Datos1[[#This Row],[ANANF acumulado por año]]/Datos1[[#This Row],[PIB nominal (miles de millones de G.)]]*100</f>
        <v>0.26909304284533381</v>
      </c>
      <c r="CC41" s="56">
        <f>+Datos1[[#This Row],[ANANF acumulado 12 meses]]/Datos1[[#This Row],[PIB nominal (miles de millones de G.)]]*100</f>
        <v>1.9988612429604831</v>
      </c>
      <c r="CD41" s="4">
        <v>82.011477496999987</v>
      </c>
      <c r="CE41" s="4">
        <f t="shared" si="14"/>
        <v>11.794911950408853</v>
      </c>
      <c r="CF41" s="4">
        <f t="shared" si="15"/>
        <v>80.723757338000013</v>
      </c>
      <c r="CG41" s="4">
        <f t="shared" si="16"/>
        <v>11.609711703373591</v>
      </c>
      <c r="CH41" s="56">
        <f t="shared" si="17"/>
        <v>39.313336239000165</v>
      </c>
      <c r="CI41" s="56">
        <f>SUMIFS($CH$3:$CH41,$D$3:$D41,D41)</f>
        <v>503.8035485260001</v>
      </c>
      <c r="CJ41" s="56">
        <f t="shared" si="25"/>
        <v>437.57309562199987</v>
      </c>
      <c r="CK41" s="56">
        <f>Datos1[[#This Row],[Resultado Fiscal (miles de millones de G.)]]*1000/$F$207</f>
        <v>5.6540542076294953</v>
      </c>
      <c r="CL41" s="56">
        <f t="shared" si="33"/>
        <v>62.931876028182991</v>
      </c>
      <c r="CM41" s="100">
        <f t="shared" si="48"/>
        <v>-0.79335084370701592</v>
      </c>
      <c r="CN41" s="100">
        <f t="shared" si="49"/>
        <v>0.27045342438129927</v>
      </c>
      <c r="CO41" s="100">
        <f t="shared" si="55"/>
        <v>-0.43880356160985923</v>
      </c>
      <c r="CP41" s="4">
        <f t="shared" si="18"/>
        <v>5.1945659467467806E-2</v>
      </c>
      <c r="CQ41" s="4">
        <f t="shared" si="26"/>
        <v>0.57817588614514936</v>
      </c>
      <c r="CR41" s="73">
        <v>310.39074268100001</v>
      </c>
      <c r="CS41" s="113">
        <f>SUM(Datos1[[#This Row],[FFPP]:[MTESS]])</f>
        <v>0</v>
      </c>
      <c r="CT41" s="113"/>
      <c r="CU41" s="113"/>
      <c r="CV41" s="113"/>
      <c r="CW41" s="113"/>
      <c r="CX41" s="113"/>
      <c r="CY41" s="113"/>
      <c r="CZ41" s="113"/>
    </row>
    <row r="42" spans="1:104">
      <c r="A42">
        <v>40</v>
      </c>
      <c r="B42" s="3">
        <v>38808</v>
      </c>
      <c r="C42" s="14" t="str">
        <f t="shared" si="0"/>
        <v>Abril</v>
      </c>
      <c r="D42" s="14">
        <f t="shared" si="19"/>
        <v>2006</v>
      </c>
      <c r="E42" s="15">
        <f t="shared" si="1"/>
        <v>75681.657797839813</v>
      </c>
      <c r="F42" s="15">
        <f t="shared" si="59"/>
        <v>5635.5078030303039</v>
      </c>
      <c r="G42" s="56">
        <v>890.75322697199999</v>
      </c>
      <c r="H42" s="4">
        <f t="shared" si="20"/>
        <v>1.1769737250621177</v>
      </c>
      <c r="I42" s="4">
        <f>SUMIFS($G$3:$G42,$D$3:$D42,D42)</f>
        <v>3142.9575840130001</v>
      </c>
      <c r="J42" s="2">
        <f t="shared" si="27"/>
        <v>8939.8566318339999</v>
      </c>
      <c r="K42" s="95">
        <f t="shared" si="34"/>
        <v>0.19376362384515811</v>
      </c>
      <c r="L42" s="95">
        <f t="shared" si="35"/>
        <v>0.19534133200811898</v>
      </c>
      <c r="M42" s="95">
        <f t="shared" si="50"/>
        <v>9.5899972505772979E-2</v>
      </c>
      <c r="N42" s="4">
        <v>631.65630699999997</v>
      </c>
      <c r="O42" s="4">
        <f t="shared" si="3"/>
        <v>0.83462271490837947</v>
      </c>
      <c r="P42" s="4">
        <f>SUMIFS($N$3:$N42,$D$3:$D42,D42)</f>
        <v>2069.7197636689998</v>
      </c>
      <c r="Q42" s="4">
        <f t="shared" si="23"/>
        <v>5914.1154697049997</v>
      </c>
      <c r="R42" s="97">
        <f t="shared" si="36"/>
        <v>0.22345482222956448</v>
      </c>
      <c r="S42" s="97">
        <f t="shared" si="37"/>
        <v>0.27302579320471065</v>
      </c>
      <c r="T42" s="97">
        <f t="shared" si="51"/>
        <v>0.14785531298184718</v>
      </c>
      <c r="U42" s="4">
        <v>377.57916812799999</v>
      </c>
      <c r="V42" s="4">
        <f t="shared" si="28"/>
        <v>2587.6623996110002</v>
      </c>
      <c r="W42" s="97">
        <f t="shared" si="56"/>
        <v>0.22160546922310176</v>
      </c>
      <c r="X42" s="97">
        <f t="shared" si="38"/>
        <v>0.30145818953463266</v>
      </c>
      <c r="Y42" s="4">
        <v>251.63457444699995</v>
      </c>
      <c r="Z42" s="4">
        <f t="shared" si="29"/>
        <v>3288.4499686499998</v>
      </c>
      <c r="AA42" s="97">
        <f t="shared" si="57"/>
        <v>9.3182557178465908E-2</v>
      </c>
      <c r="AB42" s="97">
        <f t="shared" si="39"/>
        <v>0.14455216104845392</v>
      </c>
      <c r="AC42" s="4">
        <v>48.323180354999998</v>
      </c>
      <c r="AD42" s="4">
        <f t="shared" si="4"/>
        <v>6.3850583828489141E-2</v>
      </c>
      <c r="AE42" s="4">
        <v>43.53700236200001</v>
      </c>
      <c r="AF42" s="4">
        <f t="shared" si="5"/>
        <v>5.7526491396760457E-2</v>
      </c>
      <c r="AG42" s="4">
        <v>167.23673725499998</v>
      </c>
      <c r="AH42" s="4">
        <f t="shared" si="6"/>
        <v>29.675540004589131</v>
      </c>
      <c r="AI42" s="4">
        <v>132.805696504</v>
      </c>
      <c r="AJ42" s="4">
        <f t="shared" si="7"/>
        <v>19.100149693495052</v>
      </c>
      <c r="AK42" s="101">
        <f>SUMIFS($AJ$3:$AJ42,$D$3:$D42,D42)</f>
        <v>77.911885757144134</v>
      </c>
      <c r="AL42" s="4">
        <v>0</v>
      </c>
      <c r="AM42" s="4">
        <f t="shared" si="8"/>
        <v>0</v>
      </c>
      <c r="AN42" s="101">
        <f>SUMIFS($AM$3:$AM42,$D$3:$D42,D42)</f>
        <v>21.025470807219968</v>
      </c>
      <c r="AO42" s="4">
        <f t="shared" si="21"/>
        <v>34.431040750999983</v>
      </c>
      <c r="AP42" s="56">
        <v>575.30109036699992</v>
      </c>
      <c r="AQ42" s="4">
        <f t="shared" si="9"/>
        <v>0.76015920780136603</v>
      </c>
      <c r="AR42" s="4">
        <f>SUMIFS($AP$3:$AP42,$D$3:$D42,D42)</f>
        <v>2120.0478230379999</v>
      </c>
      <c r="AS42" s="4">
        <f t="shared" si="30"/>
        <v>6881.4296190969999</v>
      </c>
      <c r="AT42" s="97">
        <f t="shared" si="40"/>
        <v>6.9695157964973165E-2</v>
      </c>
      <c r="AU42" s="97">
        <f t="shared" si="41"/>
        <v>0.12226514779218123</v>
      </c>
      <c r="AV42" s="98">
        <f t="shared" si="52"/>
        <v>0.1518766539778742</v>
      </c>
      <c r="AW42" s="4">
        <v>290.42064471199996</v>
      </c>
      <c r="AX42" s="4">
        <f>SUMIFS($AW$3:$AW42,$D$3:$D42,D42)</f>
        <v>1165.9710272119999</v>
      </c>
      <c r="AY42" s="4">
        <f t="shared" si="31"/>
        <v>3480.4454605440001</v>
      </c>
      <c r="AZ42" s="97">
        <f t="shared" si="42"/>
        <v>0.13534383708179698</v>
      </c>
      <c r="BA42" s="97">
        <f t="shared" si="43"/>
        <v>0.17151403460496883</v>
      </c>
      <c r="BB42" s="97">
        <f t="shared" si="58"/>
        <v>0.13524268526500993</v>
      </c>
      <c r="BC42" s="4">
        <v>221.954769822</v>
      </c>
      <c r="BD42" s="4">
        <f t="shared" si="22"/>
        <v>68.465874889999952</v>
      </c>
      <c r="BE42" s="4">
        <v>46.507480876999992</v>
      </c>
      <c r="BF42" s="4">
        <v>40.404184504</v>
      </c>
      <c r="BG42" s="4">
        <f t="shared" si="10"/>
        <v>5.8109402878418654</v>
      </c>
      <c r="BH42" s="4">
        <f>Datos1[[#This Row],[Intereses]]/Datos1[[#This Row],[PIB nominal (miles de millones de G.)]]*100</f>
        <v>5.3387023592859587E-2</v>
      </c>
      <c r="BI42" s="4">
        <v>81.273563254999999</v>
      </c>
      <c r="BJ42" s="4">
        <v>98.255128120999998</v>
      </c>
      <c r="BK42" s="4">
        <v>18.440088898000003</v>
      </c>
      <c r="BL42" s="56">
        <f t="shared" si="60"/>
        <v>315.45213660500008</v>
      </c>
      <c r="BM42" s="56">
        <f>SUMIFS($BL$3:$BL42,$D$3:$D42,D42)</f>
        <v>1022.9097609750002</v>
      </c>
      <c r="BN42" s="56">
        <f t="shared" si="24"/>
        <v>2058.427012737</v>
      </c>
      <c r="BO42" s="100">
        <f t="shared" si="44"/>
        <v>0.52120764039092271</v>
      </c>
      <c r="BP42" s="100">
        <f t="shared" si="45"/>
        <v>0.37536908399967395</v>
      </c>
      <c r="BQ42" s="100">
        <f t="shared" si="53"/>
        <v>-5.7257277689002239E-2</v>
      </c>
      <c r="BR42" s="2">
        <f t="shared" si="12"/>
        <v>0.41681451726075175</v>
      </c>
      <c r="BS42" s="2">
        <f>+Datos1[[#This Row],[RON acumulado 12 meses]]/Datos1[[#This Row],[PIB nominal (miles de millones de G.)]]*100</f>
        <v>2.7198492641842655</v>
      </c>
      <c r="BT42" s="56">
        <v>78.689051735000007</v>
      </c>
      <c r="BU42" s="56">
        <f>SUMIFS($BT$3:$BT42,$D$3:$D42,D42)</f>
        <v>282.343127579</v>
      </c>
      <c r="BV42" s="56">
        <f t="shared" si="32"/>
        <v>1523.8585440300001</v>
      </c>
      <c r="BW42" s="100">
        <f t="shared" si="46"/>
        <v>0.16400765648192595</v>
      </c>
      <c r="BX42" s="100">
        <f t="shared" si="47"/>
        <v>0.36126119875206042</v>
      </c>
      <c r="BY42" s="100">
        <f t="shared" si="54"/>
        <v>8.9643291089626764E-2</v>
      </c>
      <c r="BZ42" s="56">
        <f t="shared" si="13"/>
        <v>11.317079816168942</v>
      </c>
      <c r="CA42" s="56">
        <f>Datos1[[#This Row],[Adquisición Neta de Activos no Financieros]]/Datos1[[#This Row],[PIB nominal (miles de millones de G.)]]*100</f>
        <v>0.10397374215188773</v>
      </c>
      <c r="CB42" s="56">
        <f>+Datos1[[#This Row],[ANANF acumulado por año]]/Datos1[[#This Row],[PIB nominal (miles de millones de G.)]]*100</f>
        <v>0.37306678499722157</v>
      </c>
      <c r="CC42" s="56">
        <f>+Datos1[[#This Row],[ANANF acumulado 12 meses]]/Datos1[[#This Row],[PIB nominal (miles de millones de G.)]]*100</f>
        <v>2.013511051912364</v>
      </c>
      <c r="CD42" s="4">
        <v>44.786713214999992</v>
      </c>
      <c r="CE42" s="4">
        <f t="shared" si="14"/>
        <v>6.4412367029780828</v>
      </c>
      <c r="CF42" s="4">
        <f t="shared" si="15"/>
        <v>33.902338520000015</v>
      </c>
      <c r="CG42" s="4">
        <f t="shared" si="16"/>
        <v>4.8758431131908591</v>
      </c>
      <c r="CH42" s="56">
        <f t="shared" si="17"/>
        <v>236.76308487000006</v>
      </c>
      <c r="CI42" s="56">
        <f>SUMIFS($CH$3:$CH42,$D$3:$D42,D42)</f>
        <v>740.56663339600016</v>
      </c>
      <c r="CJ42" s="56">
        <f t="shared" si="25"/>
        <v>534.56846870700008</v>
      </c>
      <c r="CK42" s="56">
        <f>Datos1[[#This Row],[Resultado Fiscal (miles de millones de G.)]]*1000/$F$207</f>
        <v>34.051328233307139</v>
      </c>
      <c r="CL42" s="56">
        <f t="shared" si="33"/>
        <v>76.881775725776947</v>
      </c>
      <c r="CM42" s="100">
        <f t="shared" si="48"/>
        <v>0.69397553874391993</v>
      </c>
      <c r="CN42" s="100">
        <f t="shared" si="49"/>
        <v>0.38082505674911715</v>
      </c>
      <c r="CO42" s="100">
        <f t="shared" si="55"/>
        <v>-0.31897951300745253</v>
      </c>
      <c r="CP42" s="4">
        <f t="shared" si="18"/>
        <v>0.31284077510886399</v>
      </c>
      <c r="CQ42" s="4">
        <f t="shared" si="26"/>
        <v>0.70633821227190186</v>
      </c>
      <c r="CR42" s="73">
        <v>307.85341948299998</v>
      </c>
      <c r="CS42" s="113">
        <f>SUM(Datos1[[#This Row],[FFPP]:[MTESS]])</f>
        <v>0</v>
      </c>
      <c r="CT42" s="113"/>
      <c r="CU42" s="113"/>
      <c r="CV42" s="113"/>
      <c r="CW42" s="113"/>
      <c r="CX42" s="113"/>
      <c r="CY42" s="113"/>
      <c r="CZ42" s="113"/>
    </row>
    <row r="43" spans="1:104">
      <c r="A43">
        <v>41</v>
      </c>
      <c r="B43" s="3">
        <v>38838</v>
      </c>
      <c r="C43" s="14" t="str">
        <f t="shared" si="0"/>
        <v>Mayo</v>
      </c>
      <c r="D43" s="14">
        <f t="shared" si="19"/>
        <v>2006</v>
      </c>
      <c r="E43" s="15">
        <f t="shared" si="1"/>
        <v>75681.657797839813</v>
      </c>
      <c r="F43" s="15">
        <f t="shared" si="59"/>
        <v>5635.5078030303039</v>
      </c>
      <c r="G43" s="56">
        <v>890.91795143900003</v>
      </c>
      <c r="H43" s="4">
        <f t="shared" si="20"/>
        <v>1.1771913794737587</v>
      </c>
      <c r="I43" s="4">
        <f>SUMIFS($G$3:$G43,$D$3:$D43,D43)</f>
        <v>4033.8755354519999</v>
      </c>
      <c r="J43" s="2">
        <f t="shared" si="27"/>
        <v>9149.2567894659987</v>
      </c>
      <c r="K43" s="95">
        <f t="shared" si="34"/>
        <v>0.21710069597697657</v>
      </c>
      <c r="L43" s="95">
        <f t="shared" si="35"/>
        <v>0.30725559851090312</v>
      </c>
      <c r="M43" s="95">
        <f t="shared" si="50"/>
        <v>0.13017477637234753</v>
      </c>
      <c r="N43" s="4">
        <v>584.03412166600003</v>
      </c>
      <c r="O43" s="4">
        <f t="shared" si="3"/>
        <v>0.77169837271015773</v>
      </c>
      <c r="P43" s="4">
        <f>SUMIFS($N$3:$N43,$D$3:$D43,D43)</f>
        <v>2653.7538853349997</v>
      </c>
      <c r="Q43" s="4">
        <f t="shared" si="23"/>
        <v>5997.6886035560001</v>
      </c>
      <c r="R43" s="97">
        <f t="shared" si="36"/>
        <v>0.16699230486651562</v>
      </c>
      <c r="S43" s="97">
        <f t="shared" si="37"/>
        <v>0.24806886192616551</v>
      </c>
      <c r="T43" s="97">
        <f t="shared" si="51"/>
        <v>0.16001015680123465</v>
      </c>
      <c r="U43" s="4">
        <v>288.12948306999994</v>
      </c>
      <c r="V43" s="4">
        <f t="shared" si="28"/>
        <v>2614.5269738659999</v>
      </c>
      <c r="W43" s="97">
        <f t="shared" si="56"/>
        <v>0.20260755395900443</v>
      </c>
      <c r="X43" s="97">
        <f t="shared" si="38"/>
        <v>0.10282503829866618</v>
      </c>
      <c r="Y43" s="4">
        <v>284.50661606099999</v>
      </c>
      <c r="Z43" s="4">
        <f t="shared" si="29"/>
        <v>3321.8317165170001</v>
      </c>
      <c r="AA43" s="97">
        <f t="shared" si="57"/>
        <v>0.10316600784063135</v>
      </c>
      <c r="AB43" s="97">
        <f t="shared" si="39"/>
        <v>0.1329288815841676</v>
      </c>
      <c r="AC43" s="4">
        <v>64.096784889000006</v>
      </c>
      <c r="AD43" s="4">
        <f t="shared" si="4"/>
        <v>8.4692627981557675E-2</v>
      </c>
      <c r="AE43" s="4">
        <v>14.255124359</v>
      </c>
      <c r="AF43" s="4">
        <f t="shared" si="5"/>
        <v>1.8835639669889586E-2</v>
      </c>
      <c r="AG43" s="4">
        <v>228.53192052499998</v>
      </c>
      <c r="AH43" s="4">
        <f t="shared" si="6"/>
        <v>40.552143393735456</v>
      </c>
      <c r="AI43" s="4">
        <v>135.566001559</v>
      </c>
      <c r="AJ43" s="4">
        <f t="shared" si="7"/>
        <v>19.497137481956546</v>
      </c>
      <c r="AK43" s="101">
        <f>SUMIFS($AJ$3:$AJ43,$D$3:$D43,D43)</f>
        <v>97.409023239100677</v>
      </c>
      <c r="AL43" s="4">
        <v>0</v>
      </c>
      <c r="AM43" s="4">
        <f t="shared" si="8"/>
        <v>0</v>
      </c>
      <c r="AN43" s="101">
        <f>SUMIFS($AM$3:$AM43,$D$3:$D43,D43)</f>
        <v>21.025470807219968</v>
      </c>
      <c r="AO43" s="4">
        <f t="shared" si="21"/>
        <v>92.965918965999975</v>
      </c>
      <c r="AP43" s="56">
        <v>614.17783413200004</v>
      </c>
      <c r="AQ43" s="4">
        <f t="shared" si="9"/>
        <v>0.81152798710169183</v>
      </c>
      <c r="AR43" s="4">
        <f>SUMIFS($AP$3:$AP43,$D$3:$D43,D43)</f>
        <v>2734.22565717</v>
      </c>
      <c r="AS43" s="4">
        <f t="shared" si="30"/>
        <v>6975.421589218</v>
      </c>
      <c r="AT43" s="97">
        <f t="shared" si="40"/>
        <v>0.18068920480894191</v>
      </c>
      <c r="AU43" s="97">
        <f t="shared" si="41"/>
        <v>0.13487952060823427</v>
      </c>
      <c r="AV43" s="98">
        <f t="shared" si="52"/>
        <v>0.14867038940030142</v>
      </c>
      <c r="AW43" s="4">
        <v>299.715729528</v>
      </c>
      <c r="AX43" s="4">
        <f>SUMIFS($AW$3:$AW43,$D$3:$D43,D43)</f>
        <v>1465.68675674</v>
      </c>
      <c r="AY43" s="4">
        <f t="shared" si="31"/>
        <v>3529.747399374</v>
      </c>
      <c r="AZ43" s="97">
        <f t="shared" si="42"/>
        <v>0.19688188375159532</v>
      </c>
      <c r="BA43" s="97">
        <f t="shared" si="43"/>
        <v>0.17661361678982912</v>
      </c>
      <c r="BB43" s="97">
        <f t="shared" si="58"/>
        <v>0.1423249364718393</v>
      </c>
      <c r="BC43" s="4">
        <v>223.231707586</v>
      </c>
      <c r="BD43" s="4">
        <f t="shared" si="22"/>
        <v>76.484021941999998</v>
      </c>
      <c r="BE43" s="4">
        <v>62.459414809999991</v>
      </c>
      <c r="BF43" s="4">
        <v>21.291658528999999</v>
      </c>
      <c r="BG43" s="4">
        <f t="shared" si="10"/>
        <v>3.062171848286884</v>
      </c>
      <c r="BH43" s="4">
        <f>Datos1[[#This Row],[Intereses]]/Datos1[[#This Row],[PIB nominal (miles de millones de G.)]]*100</f>
        <v>2.8133182000153977E-2</v>
      </c>
      <c r="BI43" s="4">
        <v>80.983466334999989</v>
      </c>
      <c r="BJ43" s="4">
        <v>142.24278755500001</v>
      </c>
      <c r="BK43" s="4">
        <v>7.4847773749999993</v>
      </c>
      <c r="BL43" s="56">
        <f t="shared" si="60"/>
        <v>276.74011730699999</v>
      </c>
      <c r="BM43" s="56">
        <f>SUMIFS($BL$3:$BL43,$D$3:$D43,D43)</f>
        <v>1299.6498782820001</v>
      </c>
      <c r="BN43" s="56">
        <f t="shared" si="24"/>
        <v>2173.8352002480001</v>
      </c>
      <c r="BO43" s="100">
        <f t="shared" si="44"/>
        <v>0.71534622846779761</v>
      </c>
      <c r="BP43" s="100">
        <f t="shared" si="45"/>
        <v>0.43597143623252754</v>
      </c>
      <c r="BQ43" s="100">
        <f t="shared" si="53"/>
        <v>7.465031927721788E-2</v>
      </c>
      <c r="BR43" s="2">
        <f t="shared" si="12"/>
        <v>0.36566339237206691</v>
      </c>
      <c r="BS43" s="2">
        <f>+Datos1[[#This Row],[RON acumulado 12 meses]]/Datos1[[#This Row],[PIB nominal (miles de millones de G.)]]*100</f>
        <v>2.8723408861559689</v>
      </c>
      <c r="BT43" s="56">
        <v>115.10552462699999</v>
      </c>
      <c r="BU43" s="56">
        <f>SUMIFS($BT$3:$BT43,$D$3:$D43,D43)</f>
        <v>397.44865220600002</v>
      </c>
      <c r="BV43" s="56">
        <f t="shared" si="32"/>
        <v>1546.9286278490001</v>
      </c>
      <c r="BW43" s="100">
        <f t="shared" si="46"/>
        <v>0.25066521783850315</v>
      </c>
      <c r="BX43" s="100">
        <f t="shared" si="47"/>
        <v>0.32726952606440207</v>
      </c>
      <c r="BY43" s="100">
        <f t="shared" si="54"/>
        <v>9.9390569262351569E-2</v>
      </c>
      <c r="BZ43" s="56">
        <f t="shared" si="13"/>
        <v>16.554506386386546</v>
      </c>
      <c r="CA43" s="56">
        <f>Datos1[[#This Row],[Adquisición Neta de Activos no Financieros]]/Datos1[[#This Row],[PIB nominal (miles de millones de G.)]]*100</f>
        <v>0.15209170620240492</v>
      </c>
      <c r="CB43" s="56">
        <f>+Datos1[[#This Row],[ANANF acumulado por año]]/Datos1[[#This Row],[PIB nominal (miles de millones de G.)]]*100</f>
        <v>0.52515849119962654</v>
      </c>
      <c r="CC43" s="56">
        <f>+Datos1[[#This Row],[ANANF acumulado 12 meses]]/Datos1[[#This Row],[PIB nominal (miles de millones de G.)]]*100</f>
        <v>2.043994110146401</v>
      </c>
      <c r="CD43" s="4">
        <v>45.714474112999994</v>
      </c>
      <c r="CE43" s="4">
        <f t="shared" si="14"/>
        <v>6.5746675157974552</v>
      </c>
      <c r="CF43" s="4">
        <f t="shared" si="15"/>
        <v>69.391050514</v>
      </c>
      <c r="CG43" s="4">
        <f t="shared" si="16"/>
        <v>9.9798388705890915</v>
      </c>
      <c r="CH43" s="56">
        <f t="shared" si="17"/>
        <v>161.63459268</v>
      </c>
      <c r="CI43" s="56">
        <f>SUMIFS($CH$3:$CH43,$D$3:$D43,D43)</f>
        <v>902.20122607600013</v>
      </c>
      <c r="CJ43" s="56">
        <f t="shared" si="25"/>
        <v>626.90657239900008</v>
      </c>
      <c r="CK43" s="56">
        <f>Datos1[[#This Row],[Resultado Fiscal (miles de millones de G.)]]*1000/$F$207</f>
        <v>23.246329013771742</v>
      </c>
      <c r="CL43" s="56">
        <f t="shared" si="33"/>
        <v>90.161865732138608</v>
      </c>
      <c r="CM43" s="100">
        <f t="shared" si="48"/>
        <v>1.3325076788232408</v>
      </c>
      <c r="CN43" s="100">
        <f t="shared" si="49"/>
        <v>0.48971915939203647</v>
      </c>
      <c r="CO43" s="100">
        <f t="shared" si="55"/>
        <v>1.8115429553193563E-2</v>
      </c>
      <c r="CP43" s="4">
        <f t="shared" si="18"/>
        <v>0.21357168616966204</v>
      </c>
      <c r="CQ43" s="4">
        <f t="shared" si="26"/>
        <v>0.82834677600956819</v>
      </c>
      <c r="CR43" s="73">
        <v>319.02883103599999</v>
      </c>
      <c r="CS43" s="113">
        <f>SUM(Datos1[[#This Row],[FFPP]:[MTESS]])</f>
        <v>0</v>
      </c>
      <c r="CT43" s="113"/>
      <c r="CU43" s="113"/>
      <c r="CV43" s="113"/>
      <c r="CW43" s="113"/>
      <c r="CX43" s="113"/>
      <c r="CY43" s="113"/>
      <c r="CZ43" s="113"/>
    </row>
    <row r="44" spans="1:104">
      <c r="A44">
        <v>42</v>
      </c>
      <c r="B44" s="3">
        <v>38869</v>
      </c>
      <c r="C44" s="14" t="str">
        <f t="shared" si="0"/>
        <v>Junio</v>
      </c>
      <c r="D44" s="14">
        <f t="shared" si="19"/>
        <v>2006</v>
      </c>
      <c r="E44" s="15">
        <f t="shared" si="1"/>
        <v>75681.657797839813</v>
      </c>
      <c r="F44" s="15">
        <f t="shared" si="59"/>
        <v>5635.5078030303039</v>
      </c>
      <c r="G44" s="56">
        <v>734.12080426300008</v>
      </c>
      <c r="H44" s="4">
        <f t="shared" si="20"/>
        <v>0.97001152673475677</v>
      </c>
      <c r="I44" s="4">
        <f>SUMIFS($G$3:$G44,$D$3:$D44,D44)</f>
        <v>4767.9963397150004</v>
      </c>
      <c r="J44" s="2">
        <f t="shared" si="27"/>
        <v>9192.8335252599991</v>
      </c>
      <c r="K44" s="95">
        <f t="shared" si="34"/>
        <v>0.19054784748039943</v>
      </c>
      <c r="L44" s="95">
        <f t="shared" si="35"/>
        <v>6.3104931001165099E-2</v>
      </c>
      <c r="M44" s="95">
        <f t="shared" si="50"/>
        <v>0.12227884109387444</v>
      </c>
      <c r="N44" s="4">
        <v>473.32508144799999</v>
      </c>
      <c r="O44" s="4">
        <f t="shared" si="3"/>
        <v>0.62541584740696599</v>
      </c>
      <c r="P44" s="4">
        <f>SUMIFS($N$3:$N44,$D$3:$D44,D44)</f>
        <v>3127.0789667829995</v>
      </c>
      <c r="Q44" s="4">
        <f t="shared" si="23"/>
        <v>6058.8212950469997</v>
      </c>
      <c r="R44" s="97">
        <f t="shared" si="36"/>
        <v>0.14831106294169416</v>
      </c>
      <c r="S44" s="97">
        <f t="shared" si="37"/>
        <v>0.23187042871778218</v>
      </c>
      <c r="T44" s="97">
        <f t="shared" si="51"/>
        <v>0.1696627661108745</v>
      </c>
      <c r="U44" s="4">
        <v>188.26939409799999</v>
      </c>
      <c r="V44" s="4">
        <f t="shared" si="28"/>
        <v>2633.7200257589998</v>
      </c>
      <c r="W44" s="97">
        <f t="shared" si="56"/>
        <v>0.20188980149918101</v>
      </c>
      <c r="X44" s="97">
        <f t="shared" si="38"/>
        <v>0.11351707543879219</v>
      </c>
      <c r="Y44" s="4">
        <v>275.43054213700003</v>
      </c>
      <c r="Z44" s="4">
        <f t="shared" si="29"/>
        <v>3359.6183239029997</v>
      </c>
      <c r="AA44" s="97">
        <f t="shared" si="57"/>
        <v>0.12155034704958467</v>
      </c>
      <c r="AB44" s="97">
        <f t="shared" si="39"/>
        <v>0.15900514113937847</v>
      </c>
      <c r="AC44" s="4">
        <v>22.649961941000001</v>
      </c>
      <c r="AD44" s="4">
        <f t="shared" si="4"/>
        <v>2.9927941062684413E-2</v>
      </c>
      <c r="AE44" s="4">
        <v>67.428946822</v>
      </c>
      <c r="AF44" s="4">
        <f t="shared" si="5"/>
        <v>8.9095493920225186E-2</v>
      </c>
      <c r="AG44" s="4">
        <v>170.71681405199999</v>
      </c>
      <c r="AH44" s="4">
        <f t="shared" si="6"/>
        <v>30.293066750826394</v>
      </c>
      <c r="AI44" s="4">
        <v>133.09275389800001</v>
      </c>
      <c r="AJ44" s="4">
        <f t="shared" si="7"/>
        <v>19.141434362303368</v>
      </c>
      <c r="AK44" s="101">
        <f>SUMIFS($AJ$3:$AJ44,$D$3:$D44,D44)</f>
        <v>116.55045760140405</v>
      </c>
      <c r="AL44" s="4">
        <v>6.7290461070000003</v>
      </c>
      <c r="AM44" s="4">
        <f t="shared" si="8"/>
        <v>0.96777315522952012</v>
      </c>
      <c r="AN44" s="101">
        <f>SUMIFS($AM$3:$AM44,$D$3:$D44,D44)</f>
        <v>21.993243962449487</v>
      </c>
      <c r="AO44" s="4">
        <f t="shared" si="21"/>
        <v>30.895014046999975</v>
      </c>
      <c r="AP44" s="56">
        <v>630.79708450299984</v>
      </c>
      <c r="AQ44" s="4">
        <f t="shared" si="9"/>
        <v>0.83348740349739636</v>
      </c>
      <c r="AR44" s="4">
        <f>SUMIFS($AP$3:$AP44,$D$3:$D44,D44)</f>
        <v>3365.0227416729999</v>
      </c>
      <c r="AS44" s="4">
        <f t="shared" si="30"/>
        <v>7086.0388247039991</v>
      </c>
      <c r="AT44" s="97">
        <f t="shared" si="40"/>
        <v>0.21265190432700654</v>
      </c>
      <c r="AU44" s="97">
        <f t="shared" si="41"/>
        <v>0.14868951775549255</v>
      </c>
      <c r="AV44" s="98">
        <f t="shared" si="52"/>
        <v>0.14050001635442366</v>
      </c>
      <c r="AW44" s="4">
        <v>296.29141819099993</v>
      </c>
      <c r="AX44" s="4">
        <f>SUMIFS($AW$3:$AW44,$D$3:$D44,D44)</f>
        <v>1761.978174931</v>
      </c>
      <c r="AY44" s="4">
        <f t="shared" si="31"/>
        <v>3574.5464531070002</v>
      </c>
      <c r="AZ44" s="97">
        <f t="shared" si="42"/>
        <v>0.17813285834561188</v>
      </c>
      <c r="BA44" s="97">
        <f t="shared" si="43"/>
        <v>0.17686881590589598</v>
      </c>
      <c r="BB44" s="97">
        <f t="shared" si="58"/>
        <v>0.14864016854790418</v>
      </c>
      <c r="BC44" s="4">
        <v>222.822770631</v>
      </c>
      <c r="BD44" s="4">
        <f t="shared" si="22"/>
        <v>73.468647559999937</v>
      </c>
      <c r="BE44" s="4">
        <v>70.508413676000004</v>
      </c>
      <c r="BF44" s="4">
        <v>44.527388335000005</v>
      </c>
      <c r="BG44" s="4">
        <f t="shared" si="10"/>
        <v>6.4039405315213251</v>
      </c>
      <c r="BH44" s="4">
        <f>Datos1[[#This Row],[Intereses]]/Datos1[[#This Row],[PIB nominal (miles de millones de G.)]]*100</f>
        <v>5.883511227243618E-2</v>
      </c>
      <c r="BI44" s="4">
        <v>113.864130014</v>
      </c>
      <c r="BJ44" s="4">
        <v>98.358132581000007</v>
      </c>
      <c r="BK44" s="4">
        <v>7.2476017060000002</v>
      </c>
      <c r="BL44" s="56">
        <f t="shared" si="60"/>
        <v>103.32371976000024</v>
      </c>
      <c r="BM44" s="56">
        <f>SUMIFS($BL$3:$BL44,$D$3:$D44,D44)</f>
        <v>1402.9735980420005</v>
      </c>
      <c r="BN44" s="56">
        <f t="shared" si="24"/>
        <v>2106.7947005560004</v>
      </c>
      <c r="BO44" s="100">
        <f t="shared" si="44"/>
        <v>-0.39351279222623581</v>
      </c>
      <c r="BP44" s="100">
        <f t="shared" si="45"/>
        <v>0.30456881871245156</v>
      </c>
      <c r="BQ44" s="100">
        <f t="shared" si="53"/>
        <v>6.5047818360649101E-2</v>
      </c>
      <c r="BR44" s="2">
        <f t="shared" si="12"/>
        <v>0.13652412323736046</v>
      </c>
      <c r="BS44" s="2">
        <f>+Datos1[[#This Row],[RON acumulado 12 meses]]/Datos1[[#This Row],[PIB nominal (miles de millones de G.)]]*100</f>
        <v>2.7837586567985233</v>
      </c>
      <c r="BT44" s="56">
        <v>149.47943605600003</v>
      </c>
      <c r="BU44" s="56">
        <f>SUMIFS($BT$3:$BT44,$D$3:$D44,D44)</f>
        <v>546.92808826200007</v>
      </c>
      <c r="BV44" s="56">
        <f t="shared" si="32"/>
        <v>1598.6414651500002</v>
      </c>
      <c r="BW44" s="100">
        <f t="shared" si="46"/>
        <v>0.52894176497426004</v>
      </c>
      <c r="BX44" s="100">
        <f t="shared" si="47"/>
        <v>0.37690715821615428</v>
      </c>
      <c r="BY44" s="100">
        <f t="shared" si="54"/>
        <v>0.11332877206770808</v>
      </c>
      <c r="BZ44" s="56">
        <f t="shared" si="13"/>
        <v>21.498171237578124</v>
      </c>
      <c r="CA44" s="56">
        <f>Datos1[[#This Row],[Adquisición Neta de Activos no Financieros]]/Datos1[[#This Row],[PIB nominal (miles de millones de G.)]]*100</f>
        <v>0.1975107845223055</v>
      </c>
      <c r="CB44" s="56">
        <f>+Datos1[[#This Row],[ANANF acumulado por año]]/Datos1[[#This Row],[PIB nominal (miles de millones de G.)]]*100</f>
        <v>0.72266927572193196</v>
      </c>
      <c r="CC44" s="56">
        <f>+Datos1[[#This Row],[ANANF acumulado 12 meses]]/Datos1[[#This Row],[PIB nominal (miles de millones de G.)]]*100</f>
        <v>2.112323529461098</v>
      </c>
      <c r="CD44" s="4">
        <v>80.242451634000005</v>
      </c>
      <c r="CE44" s="4">
        <f t="shared" si="14"/>
        <v>11.540490192273303</v>
      </c>
      <c r="CF44" s="4">
        <f t="shared" si="15"/>
        <v>69.23698442200002</v>
      </c>
      <c r="CG44" s="4">
        <f t="shared" si="16"/>
        <v>9.9576810453048203</v>
      </c>
      <c r="CH44" s="56">
        <f t="shared" si="17"/>
        <v>-46.155716295999781</v>
      </c>
      <c r="CI44" s="56">
        <f>SUMIFS($CH$3:$CH44,$D$3:$D44,D44)</f>
        <v>856.04550978000032</v>
      </c>
      <c r="CJ44" s="56">
        <f t="shared" si="25"/>
        <v>508.15323540600036</v>
      </c>
      <c r="CK44" s="56">
        <f>Datos1[[#This Row],[Resultado Fiscal (miles de millones de G.)]]*1000/$F$207</f>
        <v>-6.6381270809233124</v>
      </c>
      <c r="CL44" s="56">
        <f t="shared" si="33"/>
        <v>73.082730025787015</v>
      </c>
      <c r="CM44" s="100">
        <f t="shared" si="48"/>
        <v>-1.6357745040796794</v>
      </c>
      <c r="CN44" s="100">
        <f t="shared" si="49"/>
        <v>0.26220197532124923</v>
      </c>
      <c r="CO44" s="100">
        <f t="shared" si="55"/>
        <v>-6.2812368331448876E-2</v>
      </c>
      <c r="CP44" s="4">
        <f t="shared" si="18"/>
        <v>-6.0986661284945072E-2</v>
      </c>
      <c r="CQ44" s="4">
        <f t="shared" si="26"/>
        <v>0.6714351273374255</v>
      </c>
      <c r="CR44" s="73">
        <v>312.61650369</v>
      </c>
      <c r="CS44" s="113">
        <f>SUM(Datos1[[#This Row],[FFPP]:[MTESS]])</f>
        <v>0</v>
      </c>
      <c r="CT44" s="113"/>
      <c r="CU44" s="113"/>
      <c r="CV44" s="113"/>
      <c r="CW44" s="113"/>
      <c r="CX44" s="113"/>
      <c r="CY44" s="113"/>
      <c r="CZ44" s="113"/>
    </row>
    <row r="45" spans="1:104">
      <c r="A45">
        <v>43</v>
      </c>
      <c r="B45" s="3">
        <v>38899</v>
      </c>
      <c r="C45" s="14" t="str">
        <f t="shared" si="0"/>
        <v>Julio</v>
      </c>
      <c r="D45" s="14">
        <f t="shared" si="19"/>
        <v>2006</v>
      </c>
      <c r="E45" s="15">
        <f t="shared" si="1"/>
        <v>75681.657797839813</v>
      </c>
      <c r="F45" s="15">
        <f t="shared" si="59"/>
        <v>5635.5078030303039</v>
      </c>
      <c r="G45" s="56">
        <v>761.42231961999994</v>
      </c>
      <c r="H45" s="4">
        <f t="shared" si="20"/>
        <v>1.006085677528239</v>
      </c>
      <c r="I45" s="4">
        <f>SUMIFS($G$3:$G45,$D$3:$D45,D45)</f>
        <v>5529.4186593350005</v>
      </c>
      <c r="J45" s="2">
        <f t="shared" si="27"/>
        <v>9247.249472427</v>
      </c>
      <c r="K45" s="95">
        <f t="shared" si="34"/>
        <v>0.17350527484736222</v>
      </c>
      <c r="L45" s="95">
        <f t="shared" si="35"/>
        <v>7.6966699717571974E-2</v>
      </c>
      <c r="M45" s="95">
        <f t="shared" si="50"/>
        <v>0.13265505332908201</v>
      </c>
      <c r="N45" s="4">
        <v>554.49492691500006</v>
      </c>
      <c r="O45" s="4">
        <f t="shared" si="3"/>
        <v>0.73266752215730013</v>
      </c>
      <c r="P45" s="4">
        <f>SUMIFS($N$3:$N45,$D$3:$D45,D45)</f>
        <v>3681.5738936979997</v>
      </c>
      <c r="Q45" s="4">
        <f t="shared" si="23"/>
        <v>6091.1094066829992</v>
      </c>
      <c r="R45" s="97">
        <f t="shared" si="36"/>
        <v>6.1830123030373496E-2</v>
      </c>
      <c r="S45" s="97">
        <f t="shared" si="37"/>
        <v>0.20285857628280857</v>
      </c>
      <c r="T45" s="97">
        <f t="shared" si="51"/>
        <v>0.15883673276205035</v>
      </c>
      <c r="U45" s="4">
        <v>251.83343551799999</v>
      </c>
      <c r="V45" s="4">
        <f t="shared" si="28"/>
        <v>2621.2293682979998</v>
      </c>
      <c r="W45" s="97">
        <f t="shared" si="56"/>
        <v>0.16118564839180882</v>
      </c>
      <c r="X45" s="97">
        <f t="shared" si="38"/>
        <v>-4.7255084923311763E-2</v>
      </c>
      <c r="Y45" s="4">
        <v>299.58886893800002</v>
      </c>
      <c r="Z45" s="4">
        <f t="shared" si="29"/>
        <v>3408.5200147369997</v>
      </c>
      <c r="AA45" s="97">
        <f t="shared" si="57"/>
        <v>0.14137933768372424</v>
      </c>
      <c r="AB45" s="97">
        <f t="shared" si="39"/>
        <v>0.19507057043704368</v>
      </c>
      <c r="AC45" s="4">
        <v>13.2662697</v>
      </c>
      <c r="AD45" s="4">
        <f t="shared" si="4"/>
        <v>1.7529042156339578E-2</v>
      </c>
      <c r="AE45" s="4">
        <v>19.294467171999997</v>
      </c>
      <c r="AF45" s="4">
        <f t="shared" si="5"/>
        <v>2.5494244884988134E-2</v>
      </c>
      <c r="AG45" s="4">
        <v>174.36665583300001</v>
      </c>
      <c r="AH45" s="4">
        <f t="shared" si="6"/>
        <v>30.940717665094922</v>
      </c>
      <c r="AI45" s="4">
        <v>132.97285224499998</v>
      </c>
      <c r="AJ45" s="4">
        <f t="shared" si="7"/>
        <v>19.124190075491249</v>
      </c>
      <c r="AK45" s="101">
        <f>SUMIFS($AJ$3:$AJ45,$D$3:$D45,D45)</f>
        <v>135.67464767689529</v>
      </c>
      <c r="AL45" s="4">
        <v>0</v>
      </c>
      <c r="AM45" s="4">
        <f t="shared" si="8"/>
        <v>0</v>
      </c>
      <c r="AN45" s="101">
        <f>SUMIFS($AM$3:$AM45,$D$3:$D45,D45)</f>
        <v>21.993243962449487</v>
      </c>
      <c r="AO45" s="4">
        <f t="shared" si="21"/>
        <v>41.393803588000026</v>
      </c>
      <c r="AP45" s="56">
        <v>638.16059073499991</v>
      </c>
      <c r="AQ45" s="4">
        <f t="shared" si="9"/>
        <v>0.84321698190022343</v>
      </c>
      <c r="AR45" s="4">
        <f>SUMIFS($AP$3:$AP45,$D$3:$D45,D45)</f>
        <v>4003.1833324079998</v>
      </c>
      <c r="AS45" s="4">
        <f t="shared" si="30"/>
        <v>7116.4105124079997</v>
      </c>
      <c r="AT45" s="97">
        <f t="shared" si="40"/>
        <v>4.9970783527863771E-2</v>
      </c>
      <c r="AU45" s="97">
        <f t="shared" si="41"/>
        <v>0.1317270682357865</v>
      </c>
      <c r="AV45" s="98">
        <f t="shared" si="52"/>
        <v>0.13044490069572179</v>
      </c>
      <c r="AW45" s="4">
        <v>299.40909122799997</v>
      </c>
      <c r="AX45" s="4">
        <f>SUMIFS($AW$3:$AW45,$D$3:$D45,D45)</f>
        <v>2061.3872661589999</v>
      </c>
      <c r="AY45" s="4">
        <f t="shared" si="31"/>
        <v>3617.951015871</v>
      </c>
      <c r="AZ45" s="97">
        <f t="shared" si="42"/>
        <v>0.16954607414338629</v>
      </c>
      <c r="BA45" s="97">
        <f t="shared" si="43"/>
        <v>0.17579952700535983</v>
      </c>
      <c r="BB45" s="97">
        <f t="shared" si="58"/>
        <v>0.1520870542809416</v>
      </c>
      <c r="BC45" s="4">
        <v>225.475695731</v>
      </c>
      <c r="BD45" s="4">
        <f t="shared" si="22"/>
        <v>73.933395496999964</v>
      </c>
      <c r="BE45" s="4">
        <v>52.351782014000001</v>
      </c>
      <c r="BF45" s="4">
        <v>87.592296176000005</v>
      </c>
      <c r="BG45" s="4">
        <f t="shared" si="10"/>
        <v>12.597546739331053</v>
      </c>
      <c r="BH45" s="4">
        <f>Datos1[[#This Row],[Intereses]]/Datos1[[#This Row],[PIB nominal (miles de millones de G.)]]*100</f>
        <v>0.11573781379099252</v>
      </c>
      <c r="BI45" s="4">
        <v>88.617685749999993</v>
      </c>
      <c r="BJ45" s="4">
        <v>100.72538216800001</v>
      </c>
      <c r="BK45" s="4">
        <v>9.4643533990000002</v>
      </c>
      <c r="BL45" s="56">
        <f t="shared" si="60"/>
        <v>123.26172888500003</v>
      </c>
      <c r="BM45" s="56">
        <f>SUMIFS($BL$3:$BL45,$D$3:$D45,D45)</f>
        <v>1526.2353269270006</v>
      </c>
      <c r="BN45" s="56">
        <f t="shared" si="24"/>
        <v>2130.8389600190008</v>
      </c>
      <c r="BO45" s="100">
        <f t="shared" si="44"/>
        <v>0.24233897118190906</v>
      </c>
      <c r="BP45" s="100">
        <f t="shared" si="45"/>
        <v>0.29931253245782363</v>
      </c>
      <c r="BQ45" s="100">
        <f t="shared" si="53"/>
        <v>0.14009938895037766</v>
      </c>
      <c r="BR45" s="2">
        <f t="shared" si="12"/>
        <v>0.16286869562801556</v>
      </c>
      <c r="BS45" s="2">
        <f>+Datos1[[#This Row],[RON acumulado 12 meses]]/Datos1[[#This Row],[PIB nominal (miles de millones de G.)]]*100</f>
        <v>2.8155289168095119</v>
      </c>
      <c r="BT45" s="56">
        <v>91.870387643000001</v>
      </c>
      <c r="BU45" s="56">
        <f>SUMIFS($BT$3:$BT45,$D$3:$D45,D45)</f>
        <v>638.79847590500003</v>
      </c>
      <c r="BV45" s="56">
        <f t="shared" si="32"/>
        <v>1560.7831124899999</v>
      </c>
      <c r="BW45" s="100">
        <f t="shared" si="46"/>
        <v>-0.29182702746959854</v>
      </c>
      <c r="BX45" s="100">
        <f t="shared" si="47"/>
        <v>0.21227088404917449</v>
      </c>
      <c r="BY45" s="100">
        <f t="shared" si="54"/>
        <v>5.8368363927738809E-2</v>
      </c>
      <c r="BZ45" s="56">
        <f t="shared" si="13"/>
        <v>13.2128229629658</v>
      </c>
      <c r="CA45" s="56">
        <f>Datos1[[#This Row],[Adquisición Neta de Activos no Financieros]]/Datos1[[#This Row],[PIB nominal (miles de millones de G.)]]*100</f>
        <v>0.12139055924013105</v>
      </c>
      <c r="CB45" s="56">
        <f>+Datos1[[#This Row],[ANANF acumulado por año]]/Datos1[[#This Row],[PIB nominal (miles de millones de G.)]]*100</f>
        <v>0.84405983496206294</v>
      </c>
      <c r="CC45" s="56">
        <f>+Datos1[[#This Row],[ANANF acumulado 12 meses]]/Datos1[[#This Row],[PIB nominal (miles de millones de G.)]]*100</f>
        <v>2.0623003748928834</v>
      </c>
      <c r="CD45" s="4">
        <v>54.717933922</v>
      </c>
      <c r="CE45" s="4">
        <f t="shared" si="14"/>
        <v>7.8695474391604341</v>
      </c>
      <c r="CF45" s="4">
        <f t="shared" si="15"/>
        <v>37.152453721000001</v>
      </c>
      <c r="CG45" s="4">
        <f t="shared" si="16"/>
        <v>5.3432755238053673</v>
      </c>
      <c r="CH45" s="56">
        <f t="shared" si="17"/>
        <v>31.391341242000024</v>
      </c>
      <c r="CI45" s="56">
        <f>SUMIFS($CH$3:$CH45,$D$3:$D45,D45)</f>
        <v>887.43685102200038</v>
      </c>
      <c r="CJ45" s="56">
        <f t="shared" si="25"/>
        <v>570.0558475290004</v>
      </c>
      <c r="CK45" s="56">
        <f>Datos1[[#This Row],[Resultado Fiscal (miles de millones de G.)]]*1000/$F$207</f>
        <v>4.5147108338363076</v>
      </c>
      <c r="CL45" s="56">
        <f t="shared" si="33"/>
        <v>81.985579746032641</v>
      </c>
      <c r="CM45" s="100">
        <f t="shared" si="48"/>
        <v>-2.0288441069673073</v>
      </c>
      <c r="CN45" s="100">
        <f t="shared" si="49"/>
        <v>0.37012574064593973</v>
      </c>
      <c r="CO45" s="100">
        <f t="shared" si="55"/>
        <v>0.44578854046407002</v>
      </c>
      <c r="CP45" s="4">
        <f t="shared" si="18"/>
        <v>4.1478136387884501E-2</v>
      </c>
      <c r="CQ45" s="4">
        <f t="shared" si="26"/>
        <v>0.75322854191662747</v>
      </c>
      <c r="CR45" s="73">
        <v>316.364993105</v>
      </c>
      <c r="CS45" s="113">
        <f>SUM(Datos1[[#This Row],[FFPP]:[MTESS]])</f>
        <v>0</v>
      </c>
      <c r="CT45" s="113"/>
      <c r="CU45" s="113"/>
      <c r="CV45" s="113"/>
      <c r="CW45" s="113"/>
      <c r="CX45" s="113"/>
      <c r="CY45" s="113"/>
      <c r="CZ45" s="113"/>
    </row>
    <row r="46" spans="1:104">
      <c r="A46">
        <v>44</v>
      </c>
      <c r="B46" s="3">
        <v>38930</v>
      </c>
      <c r="C46" s="14" t="str">
        <f t="shared" si="0"/>
        <v>Agosto</v>
      </c>
      <c r="D46" s="14">
        <f t="shared" si="19"/>
        <v>2006</v>
      </c>
      <c r="E46" s="15">
        <f t="shared" si="1"/>
        <v>75681.657797839813</v>
      </c>
      <c r="F46" s="15">
        <f t="shared" si="59"/>
        <v>5635.5078030303039</v>
      </c>
      <c r="G46" s="56">
        <v>764.826399993</v>
      </c>
      <c r="H46" s="4">
        <f t="shared" si="20"/>
        <v>1.0105835710364559</v>
      </c>
      <c r="I46" s="4">
        <f>SUMIFS($G$3:$G46,$D$3:$D46,D46)</f>
        <v>6294.2450593280009</v>
      </c>
      <c r="J46" s="2">
        <f t="shared" si="27"/>
        <v>9291.7153673940011</v>
      </c>
      <c r="K46" s="95">
        <f t="shared" si="34"/>
        <v>0.1586825844276456</v>
      </c>
      <c r="L46" s="95">
        <f t="shared" si="35"/>
        <v>6.1727280516850502E-2</v>
      </c>
      <c r="M46" s="95">
        <f t="shared" si="50"/>
        <v>0.12910396084675146</v>
      </c>
      <c r="N46" s="4">
        <v>479.92949148100007</v>
      </c>
      <c r="O46" s="4">
        <f t="shared" si="3"/>
        <v>0.63414241369154933</v>
      </c>
      <c r="P46" s="4">
        <f>SUMIFS($N$3:$N46,$D$3:$D46,D46)</f>
        <v>4161.5033851789995</v>
      </c>
      <c r="Q46" s="4">
        <f t="shared" ref="Q46:Q77" si="61">SUM(N35:N46)</f>
        <v>6130.4387991639996</v>
      </c>
      <c r="R46" s="97">
        <f t="shared" si="36"/>
        <v>8.9263240226825413E-2</v>
      </c>
      <c r="S46" s="97">
        <f t="shared" si="37"/>
        <v>0.18856380082079172</v>
      </c>
      <c r="T46" s="97">
        <f t="shared" si="51"/>
        <v>0.15935568150223434</v>
      </c>
      <c r="U46" s="4">
        <v>174.46424490499999</v>
      </c>
      <c r="V46" s="4">
        <f t="shared" si="28"/>
        <v>2643.1451272619997</v>
      </c>
      <c r="W46" s="97">
        <f t="shared" si="56"/>
        <v>0.15430832671993278</v>
      </c>
      <c r="X46" s="97">
        <f t="shared" si="38"/>
        <v>0.14366421815865249</v>
      </c>
      <c r="Y46" s="4">
        <v>302.67750612700002</v>
      </c>
      <c r="Z46" s="4">
        <f t="shared" si="29"/>
        <v>3430.8996147989997</v>
      </c>
      <c r="AA46" s="97">
        <f t="shared" si="57"/>
        <v>0.14556848242733844</v>
      </c>
      <c r="AB46" s="97">
        <f t="shared" si="39"/>
        <v>7.9842194956712298E-2</v>
      </c>
      <c r="AC46" s="4">
        <v>97.755941964000002</v>
      </c>
      <c r="AD46" s="4">
        <f t="shared" si="4"/>
        <v>0.12916728413260295</v>
      </c>
      <c r="AE46" s="4">
        <v>11.759043780999999</v>
      </c>
      <c r="AF46" s="4">
        <f t="shared" si="5"/>
        <v>1.553750819308247E-2</v>
      </c>
      <c r="AG46" s="4">
        <v>175.38192276699999</v>
      </c>
      <c r="AH46" s="4">
        <f t="shared" si="6"/>
        <v>31.120873024555884</v>
      </c>
      <c r="AI46" s="4">
        <v>129.14079606200002</v>
      </c>
      <c r="AJ46" s="4">
        <f t="shared" si="7"/>
        <v>18.573062762010547</v>
      </c>
      <c r="AK46" s="101">
        <f>SUMIFS($AJ$3:$AJ46,$D$3:$D46,D46)</f>
        <v>154.24771043890584</v>
      </c>
      <c r="AL46" s="4">
        <v>0</v>
      </c>
      <c r="AM46" s="4">
        <f t="shared" si="8"/>
        <v>0</v>
      </c>
      <c r="AN46" s="101">
        <f>SUMIFS($AM$3:$AM46,$D$3:$D46,D46)</f>
        <v>21.993243962449487</v>
      </c>
      <c r="AO46" s="4">
        <f t="shared" si="21"/>
        <v>46.241126704999971</v>
      </c>
      <c r="AP46" s="56">
        <v>607.162896101</v>
      </c>
      <c r="AQ46" s="4">
        <f t="shared" si="9"/>
        <v>0.80225898027081843</v>
      </c>
      <c r="AR46" s="4">
        <f>SUMIFS($AP$3:$AP46,$D$3:$D46,D46)</f>
        <v>4610.346228509</v>
      </c>
      <c r="AS46" s="4">
        <f t="shared" si="30"/>
        <v>7214.6356358559997</v>
      </c>
      <c r="AT46" s="97">
        <f t="shared" si="40"/>
        <v>0.19300026196910158</v>
      </c>
      <c r="AU46" s="97">
        <f t="shared" si="41"/>
        <v>0.13943416654836338</v>
      </c>
      <c r="AV46" s="98">
        <f t="shared" si="52"/>
        <v>0.14191548277274846</v>
      </c>
      <c r="AW46" s="4">
        <v>310.86348425700004</v>
      </c>
      <c r="AX46" s="4">
        <f>SUMIFS($AW$3:$AW46,$D$3:$D46,D46)</f>
        <v>2372.2507504159998</v>
      </c>
      <c r="AY46" s="4">
        <f t="shared" si="31"/>
        <v>3679.0269862209998</v>
      </c>
      <c r="AZ46" s="97">
        <f t="shared" si="42"/>
        <v>0.24451170274563716</v>
      </c>
      <c r="BA46" s="97">
        <f t="shared" si="43"/>
        <v>0.18436853790909669</v>
      </c>
      <c r="BB46" s="97">
        <f t="shared" si="58"/>
        <v>0.16239513433312025</v>
      </c>
      <c r="BC46" s="4">
        <v>225.82567215899999</v>
      </c>
      <c r="BD46" s="4">
        <f t="shared" si="22"/>
        <v>85.037812098000046</v>
      </c>
      <c r="BE46" s="4">
        <v>68.763329337999991</v>
      </c>
      <c r="BF46" s="4">
        <v>22.912148883999997</v>
      </c>
      <c r="BG46" s="4">
        <f t="shared" si="10"/>
        <v>3.2952311911625314</v>
      </c>
      <c r="BH46" s="4">
        <f>Datos1[[#This Row],[Intereses]]/Datos1[[#This Row],[PIB nominal (miles de millones de G.)]]*100</f>
        <v>3.0274374994800894E-2</v>
      </c>
      <c r="BI46" s="4">
        <v>92.477829291999996</v>
      </c>
      <c r="BJ46" s="4">
        <v>99.668258534999993</v>
      </c>
      <c r="BK46" s="4">
        <v>12.477845794999997</v>
      </c>
      <c r="BL46" s="56">
        <f t="shared" si="60"/>
        <v>157.66350389199999</v>
      </c>
      <c r="BM46" s="56">
        <f>SUMIFS($BL$3:$BL46,$D$3:$D46,D46)</f>
        <v>1683.8988308190005</v>
      </c>
      <c r="BN46" s="56">
        <f t="shared" ref="BN46:BN77" si="62">SUM(BL35:BL46)</f>
        <v>2077.0797315380005</v>
      </c>
      <c r="BO46" s="100">
        <f t="shared" si="44"/>
        <v>-0.25427364350847592</v>
      </c>
      <c r="BP46" s="100">
        <f t="shared" si="45"/>
        <v>0.2148719124059153</v>
      </c>
      <c r="BQ46" s="100">
        <f t="shared" si="53"/>
        <v>8.6753415104257048E-2</v>
      </c>
      <c r="BR46" s="2">
        <f t="shared" si="12"/>
        <v>0.20832459076563756</v>
      </c>
      <c r="BS46" s="2">
        <f>+Datos1[[#This Row],[RON acumulado 12 meses]]/Datos1[[#This Row],[PIB nominal (miles de millones de G.)]]*100</f>
        <v>2.7444955514667475</v>
      </c>
      <c r="BT46" s="56">
        <v>114.60547796100001</v>
      </c>
      <c r="BU46" s="56">
        <f>SUMIFS($BT$3:$BT46,$D$3:$D46,D46)</f>
        <v>753.40395386600005</v>
      </c>
      <c r="BV46" s="56">
        <f t="shared" si="32"/>
        <v>1542.7541290589998</v>
      </c>
      <c r="BW46" s="100">
        <f t="shared" si="46"/>
        <v>-0.13592985745774999</v>
      </c>
      <c r="BX46" s="100">
        <f t="shared" si="47"/>
        <v>0.14225125302987185</v>
      </c>
      <c r="BY46" s="100">
        <f t="shared" si="54"/>
        <v>1.8876382942537795E-2</v>
      </c>
      <c r="BZ46" s="56">
        <f t="shared" si="13"/>
        <v>16.482589545273896</v>
      </c>
      <c r="CA46" s="56">
        <f>Datos1[[#This Row],[Adquisición Neta de Activos no Financieros]]/Datos1[[#This Row],[PIB nominal (miles de millones de G.)]]*100</f>
        <v>0.15143098248076589</v>
      </c>
      <c r="CB46" s="56">
        <f>+Datos1[[#This Row],[ANANF acumulado por año]]/Datos1[[#This Row],[PIB nominal (miles de millones de G.)]]*100</f>
        <v>0.99549081744282897</v>
      </c>
      <c r="CC46" s="56">
        <f>+Datos1[[#This Row],[ANANF acumulado 12 meses]]/Datos1[[#This Row],[PIB nominal (miles de millones de G.)]]*100</f>
        <v>2.0384782442001881</v>
      </c>
      <c r="CD46" s="4">
        <v>67.218410650999999</v>
      </c>
      <c r="CE46" s="4">
        <f t="shared" si="14"/>
        <v>9.6673692423596655</v>
      </c>
      <c r="CF46" s="4">
        <f t="shared" si="15"/>
        <v>47.387067310000006</v>
      </c>
      <c r="CG46" s="4">
        <f t="shared" si="16"/>
        <v>6.8152203029142289</v>
      </c>
      <c r="CH46" s="56">
        <f t="shared" si="17"/>
        <v>43.058025930999989</v>
      </c>
      <c r="CI46" s="56">
        <f>SUMIFS($CH$3:$CH46,$D$3:$D46,D46)</f>
        <v>930.49487695300036</v>
      </c>
      <c r="CJ46" s="56">
        <f t="shared" ref="CJ46:CJ77" si="63">SUM(CH35:CH46)</f>
        <v>534.32560247900028</v>
      </c>
      <c r="CK46" s="56">
        <f>Datos1[[#This Row],[Resultado Fiscal (miles de millones de G.)]]*1000/$F$207</f>
        <v>6.1926164497297824</v>
      </c>
      <c r="CL46" s="56">
        <f t="shared" si="33"/>
        <v>76.846846641916812</v>
      </c>
      <c r="CM46" s="100">
        <f t="shared" si="48"/>
        <v>-0.4534970066625339</v>
      </c>
      <c r="CN46" s="100">
        <f t="shared" si="49"/>
        <v>0.28080372818323518</v>
      </c>
      <c r="CO46" s="100">
        <f t="shared" si="55"/>
        <v>0.34557463111696274</v>
      </c>
      <c r="CP46" s="4">
        <f t="shared" si="18"/>
        <v>5.6893608284871632E-2</v>
      </c>
      <c r="CQ46" s="4">
        <f t="shared" ref="CQ46:CQ77" si="64">+CJ46/E46*100</f>
        <v>0.70601730726655887</v>
      </c>
      <c r="CR46" s="73">
        <v>326.73316547299999</v>
      </c>
      <c r="CS46" s="113">
        <f>SUM(Datos1[[#This Row],[FFPP]:[MTESS]])</f>
        <v>0</v>
      </c>
      <c r="CT46" s="113"/>
      <c r="CU46" s="113"/>
      <c r="CV46" s="113"/>
      <c r="CW46" s="113"/>
      <c r="CX46" s="113"/>
      <c r="CY46" s="113"/>
      <c r="CZ46" s="113"/>
    </row>
    <row r="47" spans="1:104">
      <c r="A47">
        <v>45</v>
      </c>
      <c r="B47" s="3">
        <v>38961</v>
      </c>
      <c r="C47" s="14" t="str">
        <f t="shared" si="0"/>
        <v>Septiembre</v>
      </c>
      <c r="D47" s="14">
        <f t="shared" si="19"/>
        <v>2006</v>
      </c>
      <c r="E47" s="15">
        <f t="shared" si="1"/>
        <v>75681.657797839813</v>
      </c>
      <c r="F47" s="15">
        <f t="shared" si="59"/>
        <v>5635.5078030303039</v>
      </c>
      <c r="G47" s="56">
        <v>939.74358420299995</v>
      </c>
      <c r="H47" s="4">
        <f t="shared" si="20"/>
        <v>1.2417058657901427</v>
      </c>
      <c r="I47" s="4">
        <f>SUMIFS($G$3:$G47,$D$3:$D47,D47)</f>
        <v>7233.9886435310009</v>
      </c>
      <c r="J47" s="2">
        <f t="shared" si="27"/>
        <v>9537.4120824640013</v>
      </c>
      <c r="K47" s="95">
        <f t="shared" si="34"/>
        <v>0.1808107521720721</v>
      </c>
      <c r="L47" s="95">
        <f t="shared" si="35"/>
        <v>0.35400594109288774</v>
      </c>
      <c r="M47" s="95">
        <f t="shared" si="50"/>
        <v>0.15655347711072776</v>
      </c>
      <c r="N47" s="4">
        <v>541.64970596000001</v>
      </c>
      <c r="O47" s="4">
        <f t="shared" si="3"/>
        <v>0.71569482186403743</v>
      </c>
      <c r="P47" s="4">
        <f>SUMIFS($N$3:$N47,$D$3:$D47,D47)</f>
        <v>4703.1530911389991</v>
      </c>
      <c r="Q47" s="4">
        <f t="shared" si="61"/>
        <v>6196.3686231849988</v>
      </c>
      <c r="R47" s="97">
        <f t="shared" si="36"/>
        <v>0.1385895913205788</v>
      </c>
      <c r="S47" s="97">
        <f t="shared" si="37"/>
        <v>0.18258600803995995</v>
      </c>
      <c r="T47" s="97">
        <f t="shared" si="51"/>
        <v>0.17040781188028764</v>
      </c>
      <c r="U47" s="4">
        <v>254.35607483899994</v>
      </c>
      <c r="V47" s="4">
        <f t="shared" si="28"/>
        <v>2689.2886293390002</v>
      </c>
      <c r="W47" s="97">
        <f t="shared" si="56"/>
        <v>0.17437678297634474</v>
      </c>
      <c r="X47" s="97">
        <f t="shared" si="38"/>
        <v>0.22161727058502279</v>
      </c>
      <c r="Y47" s="4">
        <v>281.18373795399998</v>
      </c>
      <c r="Z47" s="4">
        <f t="shared" si="29"/>
        <v>3431.1532576199997</v>
      </c>
      <c r="AA47" s="97">
        <f t="shared" si="57"/>
        <v>0.1386158166030782</v>
      </c>
      <c r="AB47" s="97">
        <f t="shared" si="39"/>
        <v>9.0286809919692956E-4</v>
      </c>
      <c r="AC47" s="4">
        <v>55.532774101000001</v>
      </c>
      <c r="AD47" s="4">
        <f t="shared" si="4"/>
        <v>7.3376793950971145E-2</v>
      </c>
      <c r="AE47" s="4">
        <v>38.509414827000001</v>
      </c>
      <c r="AF47" s="4">
        <f t="shared" si="5"/>
        <v>5.0883418714037711E-2</v>
      </c>
      <c r="AG47" s="4">
        <v>304.05168931500003</v>
      </c>
      <c r="AH47" s="4">
        <f t="shared" si="6"/>
        <v>53.952846831567953</v>
      </c>
      <c r="AI47" s="4">
        <v>97.312699206000005</v>
      </c>
      <c r="AJ47" s="4">
        <f t="shared" si="7"/>
        <v>13.995537622564822</v>
      </c>
      <c r="AK47" s="101">
        <f>SUMIFS($AJ$3:$AJ47,$D$3:$D47,D47)</f>
        <v>168.24324806147067</v>
      </c>
      <c r="AL47" s="4">
        <v>163.19999999999999</v>
      </c>
      <c r="AM47" s="4">
        <f t="shared" si="8"/>
        <v>23.47146630027656</v>
      </c>
      <c r="AN47" s="101">
        <f>SUMIFS($AM$3:$AM47,$D$3:$D47,D47)</f>
        <v>45.464710262726044</v>
      </c>
      <c r="AO47" s="4">
        <f t="shared" si="21"/>
        <v>43.538990109000054</v>
      </c>
      <c r="AP47" s="56">
        <v>619.16008268299993</v>
      </c>
      <c r="AQ47" s="4">
        <f t="shared" si="9"/>
        <v>0.81811115229121301</v>
      </c>
      <c r="AR47" s="4">
        <f>SUMIFS($AP$3:$AP47,$D$3:$D47,D47)</f>
        <v>5229.5063111919999</v>
      </c>
      <c r="AS47" s="4">
        <f t="shared" si="30"/>
        <v>7298.4845338460009</v>
      </c>
      <c r="AT47" s="97">
        <f t="shared" si="40"/>
        <v>0.15663580434637669</v>
      </c>
      <c r="AU47" s="97">
        <f t="shared" si="41"/>
        <v>0.14144404619401585</v>
      </c>
      <c r="AV47" s="98">
        <f t="shared" si="52"/>
        <v>0.12702507953326037</v>
      </c>
      <c r="AW47" s="4">
        <v>298.97803657600002</v>
      </c>
      <c r="AX47" s="4">
        <f>SUMIFS($AW$3:$AW47,$D$3:$D47,D47)</f>
        <v>2671.2287869920001</v>
      </c>
      <c r="AY47" s="4">
        <f t="shared" si="31"/>
        <v>3728.5988209519992</v>
      </c>
      <c r="AZ47" s="97">
        <f t="shared" si="42"/>
        <v>0.1987594308573275</v>
      </c>
      <c r="BA47" s="97">
        <f t="shared" si="43"/>
        <v>0.18596204755266355</v>
      </c>
      <c r="BB47" s="97">
        <f t="shared" si="58"/>
        <v>0.16910857777515309</v>
      </c>
      <c r="BC47" s="4">
        <v>224.066077761</v>
      </c>
      <c r="BD47" s="4">
        <f t="shared" si="22"/>
        <v>74.91195881500002</v>
      </c>
      <c r="BE47" s="4">
        <v>59.352472206000009</v>
      </c>
      <c r="BF47" s="4">
        <v>42.830600302999997</v>
      </c>
      <c r="BG47" s="4">
        <f t="shared" si="10"/>
        <v>6.1599080369637225</v>
      </c>
      <c r="BH47" s="4">
        <f>Datos1[[#This Row],[Intereses]]/Datos1[[#This Row],[PIB nominal (miles de millones de G.)]]*100</f>
        <v>5.6593105316758152E-2</v>
      </c>
      <c r="BI47" s="4">
        <v>112.046044952</v>
      </c>
      <c r="BJ47" s="4">
        <v>99.50569390199999</v>
      </c>
      <c r="BK47" s="4">
        <v>6.4472347440000002</v>
      </c>
      <c r="BL47" s="56">
        <f t="shared" si="60"/>
        <v>320.58350152000003</v>
      </c>
      <c r="BM47" s="56">
        <f>SUMIFS($BL$3:$BL47,$D$3:$D47,D47)</f>
        <v>2004.4823323390005</v>
      </c>
      <c r="BN47" s="56">
        <f t="shared" si="62"/>
        <v>2238.9275486180004</v>
      </c>
      <c r="BO47" s="100">
        <f t="shared" si="44"/>
        <v>1.019605753117073</v>
      </c>
      <c r="BP47" s="100">
        <f t="shared" si="45"/>
        <v>0.29756185101347787</v>
      </c>
      <c r="BQ47" s="100">
        <f t="shared" si="53"/>
        <v>0.26455684759311637</v>
      </c>
      <c r="BR47" s="2">
        <f t="shared" si="12"/>
        <v>0.4235947134989298</v>
      </c>
      <c r="BS47" s="2">
        <f>+Datos1[[#This Row],[RON acumulado 12 meses]]/Datos1[[#This Row],[PIB nominal (miles de millones de G.)]]*100</f>
        <v>2.9583489761794124</v>
      </c>
      <c r="BT47" s="56">
        <v>123.274417554</v>
      </c>
      <c r="BU47" s="56">
        <f>SUMIFS($BT$3:$BT47,$D$3:$D47,D47)</f>
        <v>876.67837142000008</v>
      </c>
      <c r="BV47" s="56">
        <f t="shared" si="32"/>
        <v>1567.8195088129996</v>
      </c>
      <c r="BW47" s="100">
        <f t="shared" si="46"/>
        <v>0.25522477681784173</v>
      </c>
      <c r="BX47" s="100">
        <f t="shared" si="47"/>
        <v>0.15689259486283169</v>
      </c>
      <c r="BY47" s="100">
        <f t="shared" si="54"/>
        <v>2.0355688940228989E-2</v>
      </c>
      <c r="BZ47" s="56">
        <f t="shared" si="13"/>
        <v>17.729358684466497</v>
      </c>
      <c r="CA47" s="56">
        <f>Datos1[[#This Row],[Adquisición Neta de Activos no Financieros]]/Datos1[[#This Row],[PIB nominal (miles de millones de G.)]]*100</f>
        <v>0.16288546147243438</v>
      </c>
      <c r="CB47" s="56">
        <f>+Datos1[[#This Row],[ANANF acumulado por año]]/Datos1[[#This Row],[PIB nominal (miles de millones de G.)]]*100</f>
        <v>1.1583762789152634</v>
      </c>
      <c r="CC47" s="56">
        <f>+Datos1[[#This Row],[ANANF acumulado 12 meses]]/Datos1[[#This Row],[PIB nominal (miles de millones de G.)]]*100</f>
        <v>2.0715977350825816</v>
      </c>
      <c r="CD47" s="4">
        <v>58.130030410000003</v>
      </c>
      <c r="CE47" s="4">
        <f t="shared" si="14"/>
        <v>8.3602760404556786</v>
      </c>
      <c r="CF47" s="4">
        <f t="shared" si="15"/>
        <v>65.144387143999992</v>
      </c>
      <c r="CG47" s="4">
        <f t="shared" si="16"/>
        <v>9.3690826440108186</v>
      </c>
      <c r="CH47" s="56">
        <f t="shared" si="17"/>
        <v>197.30908396600003</v>
      </c>
      <c r="CI47" s="56">
        <f>SUMIFS($CH$3:$CH47,$D$3:$D47,D47)</f>
        <v>1127.8039609190005</v>
      </c>
      <c r="CJ47" s="56">
        <f t="shared" si="63"/>
        <v>671.10803980500043</v>
      </c>
      <c r="CK47" s="56">
        <f>Datos1[[#This Row],[Resultado Fiscal (miles de millones de G.)]]*1000/$F$207</f>
        <v>28.377043597098091</v>
      </c>
      <c r="CL47" s="56">
        <f t="shared" si="33"/>
        <v>96.518932231174801</v>
      </c>
      <c r="CM47" s="100">
        <f t="shared" si="48"/>
        <v>2.2598713941572566</v>
      </c>
      <c r="CN47" s="100">
        <f t="shared" si="49"/>
        <v>0.433006201962715</v>
      </c>
      <c r="CO47" s="100">
        <f t="shared" si="55"/>
        <v>1.8682121427269172</v>
      </c>
      <c r="CP47" s="4">
        <f t="shared" si="18"/>
        <v>0.26070925202649542</v>
      </c>
      <c r="CQ47" s="4">
        <f t="shared" si="64"/>
        <v>0.88675124109683001</v>
      </c>
      <c r="CR47" s="73">
        <v>315.73707892599998</v>
      </c>
      <c r="CS47" s="113">
        <f>SUM(Datos1[[#This Row],[FFPP]:[MTESS]])</f>
        <v>0</v>
      </c>
      <c r="CT47" s="113"/>
      <c r="CU47" s="113"/>
      <c r="CV47" s="113"/>
      <c r="CW47" s="113"/>
      <c r="CX47" s="113"/>
      <c r="CY47" s="113"/>
      <c r="CZ47" s="113"/>
    </row>
    <row r="48" spans="1:104">
      <c r="A48">
        <v>46</v>
      </c>
      <c r="B48" s="3">
        <v>38991</v>
      </c>
      <c r="C48" s="14" t="str">
        <f t="shared" si="0"/>
        <v>Octubre</v>
      </c>
      <c r="D48" s="14">
        <f t="shared" si="19"/>
        <v>2006</v>
      </c>
      <c r="E48" s="15">
        <f t="shared" si="1"/>
        <v>75681.657797839813</v>
      </c>
      <c r="F48" s="15">
        <f t="shared" si="59"/>
        <v>5635.5078030303039</v>
      </c>
      <c r="G48" s="56">
        <v>779.45492134000006</v>
      </c>
      <c r="H48" s="4">
        <f t="shared" si="20"/>
        <v>1.0299125891534688</v>
      </c>
      <c r="I48" s="4">
        <f>SUMIFS($G$3:$G48,$D$3:$D48,D48)</f>
        <v>8013.4435648710005</v>
      </c>
      <c r="J48" s="2">
        <f t="shared" si="27"/>
        <v>9608.1396463770016</v>
      </c>
      <c r="K48" s="95">
        <f t="shared" si="34"/>
        <v>0.17241019326578932</v>
      </c>
      <c r="L48" s="95">
        <f t="shared" si="35"/>
        <v>9.9795165477699621E-2</v>
      </c>
      <c r="M48" s="95">
        <f t="shared" si="50"/>
        <v>0.1613040159654513</v>
      </c>
      <c r="N48" s="4">
        <v>507.00432923900007</v>
      </c>
      <c r="O48" s="4">
        <f t="shared" si="3"/>
        <v>0.66991704990567946</v>
      </c>
      <c r="P48" s="4">
        <f>SUMIFS($N$3:$N48,$D$3:$D48,D48)</f>
        <v>5210.1574203779992</v>
      </c>
      <c r="Q48" s="4">
        <f t="shared" si="61"/>
        <v>6230.8318617799996</v>
      </c>
      <c r="R48" s="97">
        <f t="shared" si="36"/>
        <v>7.2931728641909332E-2</v>
      </c>
      <c r="S48" s="97">
        <f t="shared" si="37"/>
        <v>0.17094074672939397</v>
      </c>
      <c r="T48" s="97">
        <f t="shared" si="51"/>
        <v>0.16098159361470077</v>
      </c>
      <c r="U48" s="4">
        <v>185.04441657100003</v>
      </c>
      <c r="V48" s="4">
        <f t="shared" si="28"/>
        <v>2720.8653614629998</v>
      </c>
      <c r="W48" s="97">
        <f t="shared" si="56"/>
        <v>0.17928411630350816</v>
      </c>
      <c r="X48" s="97">
        <f t="shared" si="38"/>
        <v>0.20575492643798277</v>
      </c>
      <c r="Y48" s="4">
        <v>333.51552287600003</v>
      </c>
      <c r="Z48" s="4">
        <f t="shared" si="29"/>
        <v>3461.7657097289998</v>
      </c>
      <c r="AA48" s="97">
        <f t="shared" si="57"/>
        <v>0.1370993656455759</v>
      </c>
      <c r="AB48" s="97">
        <f t="shared" si="39"/>
        <v>0.10106352514513728</v>
      </c>
      <c r="AC48" s="4">
        <v>52.327414449000003</v>
      </c>
      <c r="AD48" s="4">
        <f t="shared" si="4"/>
        <v>6.9141474924844459E-2</v>
      </c>
      <c r="AE48" s="4">
        <v>15.920582838</v>
      </c>
      <c r="AF48" s="4">
        <f t="shared" si="5"/>
        <v>2.1036250131474289E-2</v>
      </c>
      <c r="AG48" s="4">
        <v>204.20259481399998</v>
      </c>
      <c r="AH48" s="4">
        <f t="shared" si="6"/>
        <v>36.234994600521524</v>
      </c>
      <c r="AI48" s="4">
        <v>165.05446185699998</v>
      </c>
      <c r="AJ48" s="4">
        <f t="shared" si="7"/>
        <v>23.738175485213592</v>
      </c>
      <c r="AK48" s="101">
        <f>SUMIFS($AJ$3:$AJ48,$D$3:$D48,D48)</f>
        <v>191.98142354668425</v>
      </c>
      <c r="AL48" s="4">
        <v>0</v>
      </c>
      <c r="AM48" s="4">
        <f t="shared" si="8"/>
        <v>0</v>
      </c>
      <c r="AN48" s="101">
        <f>SUMIFS($AM$3:$AM48,$D$3:$D48,D48)</f>
        <v>45.464710262726044</v>
      </c>
      <c r="AO48" s="4">
        <f t="shared" si="21"/>
        <v>39.148132957000001</v>
      </c>
      <c r="AP48" s="56">
        <v>588.03292461300009</v>
      </c>
      <c r="AQ48" s="4">
        <f t="shared" si="9"/>
        <v>0.77698208750097486</v>
      </c>
      <c r="AR48" s="4">
        <f>SUMIFS($AP$3:$AP48,$D$3:$D48,D48)</f>
        <v>5817.5392358050003</v>
      </c>
      <c r="AS48" s="4">
        <f t="shared" si="30"/>
        <v>7356.5334222789998</v>
      </c>
      <c r="AT48" s="97">
        <f t="shared" si="40"/>
        <v>0.1095295036646815</v>
      </c>
      <c r="AU48" s="97">
        <f t="shared" si="41"/>
        <v>0.13813497690527043</v>
      </c>
      <c r="AV48" s="98">
        <f t="shared" si="52"/>
        <v>0.1436936057470326</v>
      </c>
      <c r="AW48" s="4">
        <v>300.83040805600001</v>
      </c>
      <c r="AX48" s="4">
        <f>SUMIFS($AW$3:$AW48,$D$3:$D48,D48)</f>
        <v>2972.0591950480002</v>
      </c>
      <c r="AY48" s="4">
        <f t="shared" si="31"/>
        <v>3774.2508644150003</v>
      </c>
      <c r="AZ48" s="97">
        <f t="shared" si="42"/>
        <v>0.17890248468287395</v>
      </c>
      <c r="BA48" s="97">
        <f t="shared" si="43"/>
        <v>0.18524363843104918</v>
      </c>
      <c r="BB48" s="97">
        <f t="shared" si="58"/>
        <v>0.17522850603067197</v>
      </c>
      <c r="BC48" s="4">
        <v>226.02294927099999</v>
      </c>
      <c r="BD48" s="4">
        <f t="shared" si="22"/>
        <v>74.807458785000023</v>
      </c>
      <c r="BE48" s="4">
        <v>50.629198478000006</v>
      </c>
      <c r="BF48" s="4">
        <v>33.848202461</v>
      </c>
      <c r="BG48" s="4">
        <f t="shared" si="10"/>
        <v>4.8680572511537967</v>
      </c>
      <c r="BH48" s="4">
        <f>Datos1[[#This Row],[Intereses]]/Datos1[[#This Row],[PIB nominal (miles de millones de G.)]]*100</f>
        <v>4.4724446379616874E-2</v>
      </c>
      <c r="BI48" s="4">
        <v>83.281230261000005</v>
      </c>
      <c r="BJ48" s="4">
        <v>98.741710828999999</v>
      </c>
      <c r="BK48" s="4">
        <v>20.702174528</v>
      </c>
      <c r="BL48" s="56">
        <f t="shared" si="60"/>
        <v>191.42199672699996</v>
      </c>
      <c r="BM48" s="56">
        <f>SUMIFS($BL$3:$BL48,$D$3:$D48,D48)</f>
        <v>2195.9043290660006</v>
      </c>
      <c r="BN48" s="56">
        <f t="shared" si="62"/>
        <v>2251.6062240980009</v>
      </c>
      <c r="BO48" s="100">
        <f t="shared" si="44"/>
        <v>7.0932303324944268E-2</v>
      </c>
      <c r="BP48" s="100">
        <f t="shared" si="45"/>
        <v>0.2740588972873077</v>
      </c>
      <c r="BQ48" s="100">
        <f t="shared" si="53"/>
        <v>0.22282225356110685</v>
      </c>
      <c r="BR48" s="2">
        <f t="shared" si="12"/>
        <v>0.25293050165249387</v>
      </c>
      <c r="BS48" s="2">
        <f>+Datos1[[#This Row],[RON acumulado 12 meses]]/Datos1[[#This Row],[PIB nominal (miles de millones de G.)]]*100</f>
        <v>2.9751016159192392</v>
      </c>
      <c r="BT48" s="56">
        <v>155.807526182</v>
      </c>
      <c r="BU48" s="56">
        <f>SUMIFS($BT$3:$BT48,$D$3:$D48,D48)</f>
        <v>1032.485897602</v>
      </c>
      <c r="BV48" s="56">
        <f t="shared" si="32"/>
        <v>1625.0065685669997</v>
      </c>
      <c r="BW48" s="100">
        <f t="shared" si="46"/>
        <v>0.579870100246896</v>
      </c>
      <c r="BX48" s="100">
        <f t="shared" si="47"/>
        <v>0.20560098657261849</v>
      </c>
      <c r="BY48" s="100">
        <f t="shared" si="54"/>
        <v>0.17610466457425455</v>
      </c>
      <c r="BZ48" s="56">
        <f t="shared" si="13"/>
        <v>22.408278799695289</v>
      </c>
      <c r="CA48" s="56">
        <f>Datos1[[#This Row],[Adquisición Neta de Activos no Financieros]]/Datos1[[#This Row],[PIB nominal (miles de millones de G.)]]*100</f>
        <v>0.20587224264853143</v>
      </c>
      <c r="CB48" s="56">
        <f>+Datos1[[#This Row],[ANANF acumulado por año]]/Datos1[[#This Row],[PIB nominal (miles de millones de G.)]]*100</f>
        <v>1.3642485215637947</v>
      </c>
      <c r="CC48" s="56">
        <f>+Datos1[[#This Row],[ANANF acumulado 12 meses]]/Datos1[[#This Row],[PIB nominal (miles de millones de G.)]]*100</f>
        <v>2.1471603765706391</v>
      </c>
      <c r="CD48" s="4">
        <v>81.002848880999991</v>
      </c>
      <c r="CE48" s="4">
        <f t="shared" si="14"/>
        <v>11.649850721426388</v>
      </c>
      <c r="CF48" s="4">
        <f t="shared" si="15"/>
        <v>74.804677301000012</v>
      </c>
      <c r="CG48" s="4">
        <f t="shared" si="16"/>
        <v>10.758428078268903</v>
      </c>
      <c r="CH48" s="56">
        <f t="shared" si="17"/>
        <v>35.614470544999961</v>
      </c>
      <c r="CI48" s="56">
        <f>SUMIFS($CH$3:$CH48,$D$3:$D48,D48)</f>
        <v>1163.4184314640004</v>
      </c>
      <c r="CJ48" s="56">
        <f t="shared" si="63"/>
        <v>626.59965553100051</v>
      </c>
      <c r="CK48" s="56">
        <f>Datos1[[#This Row],[Resultado Fiscal (miles de millones de G.)]]*1000/$F$207</f>
        <v>5.1220823847987669</v>
      </c>
      <c r="CL48" s="56">
        <f t="shared" si="33"/>
        <v>90.117724868632266</v>
      </c>
      <c r="CM48" s="100">
        <f t="shared" si="48"/>
        <v>-0.55550172762248384</v>
      </c>
      <c r="CN48" s="100">
        <f t="shared" si="49"/>
        <v>0.3416693318415096</v>
      </c>
      <c r="CO48" s="100">
        <f t="shared" si="55"/>
        <v>0.36325793008709306</v>
      </c>
      <c r="CP48" s="4">
        <f t="shared" si="18"/>
        <v>4.7058259003962391E-2</v>
      </c>
      <c r="CQ48" s="4">
        <f t="shared" si="64"/>
        <v>0.82794123934859887</v>
      </c>
      <c r="CR48" s="73">
        <v>319.53638982299998</v>
      </c>
      <c r="CS48" s="113">
        <f>SUM(Datos1[[#This Row],[FFPP]:[MTESS]])</f>
        <v>0</v>
      </c>
      <c r="CT48" s="113"/>
      <c r="CU48" s="113"/>
      <c r="CV48" s="113"/>
      <c r="CW48" s="113"/>
      <c r="CX48" s="113"/>
      <c r="CY48" s="113"/>
      <c r="CZ48" s="113"/>
    </row>
    <row r="49" spans="1:104">
      <c r="A49">
        <v>47</v>
      </c>
      <c r="B49" s="3">
        <v>39022</v>
      </c>
      <c r="C49" s="14" t="str">
        <f t="shared" si="0"/>
        <v>Noviembre</v>
      </c>
      <c r="D49" s="14">
        <f t="shared" si="19"/>
        <v>2006</v>
      </c>
      <c r="E49" s="15">
        <f t="shared" si="1"/>
        <v>75681.657797839813</v>
      </c>
      <c r="F49" s="15">
        <f t="shared" si="59"/>
        <v>5635.5078030303039</v>
      </c>
      <c r="G49" s="56">
        <v>811.85265980700001</v>
      </c>
      <c r="H49" s="4">
        <f t="shared" si="20"/>
        <v>1.0727205024705111</v>
      </c>
      <c r="I49" s="4">
        <f>SUMIFS($G$3:$G49,$D$3:$D49,D49)</f>
        <v>8825.2962246780007</v>
      </c>
      <c r="J49" s="2">
        <f t="shared" si="27"/>
        <v>9675.7335044440006</v>
      </c>
      <c r="K49" s="95">
        <f t="shared" si="34"/>
        <v>0.16439835313455031</v>
      </c>
      <c r="L49" s="95">
        <f t="shared" si="35"/>
        <v>9.0820367738980945E-2</v>
      </c>
      <c r="M49" s="95">
        <f t="shared" si="50"/>
        <v>0.16821212645678352</v>
      </c>
      <c r="N49" s="4">
        <v>596.62460225700011</v>
      </c>
      <c r="O49" s="4">
        <f t="shared" si="3"/>
        <v>0.78833447841575899</v>
      </c>
      <c r="P49" s="4">
        <f>SUMIFS($N$3:$N49,$D$3:$D49,D49)</f>
        <v>5806.7820226349995</v>
      </c>
      <c r="Q49" s="4">
        <f t="shared" si="61"/>
        <v>6322.7028271420004</v>
      </c>
      <c r="R49" s="97">
        <f t="shared" si="36"/>
        <v>0.18201149758354562</v>
      </c>
      <c r="S49" s="97">
        <f t="shared" si="37"/>
        <v>0.17206865572989893</v>
      </c>
      <c r="T49" s="97">
        <f t="shared" si="51"/>
        <v>0.17763937159558951</v>
      </c>
      <c r="U49" s="4">
        <v>266.91154273300003</v>
      </c>
      <c r="V49" s="4">
        <f t="shared" si="28"/>
        <v>2788.1144892350003</v>
      </c>
      <c r="W49" s="97">
        <f t="shared" si="56"/>
        <v>0.2139195914954457</v>
      </c>
      <c r="X49" s="97">
        <f t="shared" si="38"/>
        <v>0.33681415595987763</v>
      </c>
      <c r="Y49" s="4">
        <v>322.21708224999998</v>
      </c>
      <c r="Z49" s="4">
        <f t="shared" si="29"/>
        <v>3491.6016393379996</v>
      </c>
      <c r="AA49" s="97">
        <f t="shared" si="57"/>
        <v>0.13867827963766644</v>
      </c>
      <c r="AB49" s="97">
        <f t="shared" si="39"/>
        <v>0.10204464049580531</v>
      </c>
      <c r="AC49" s="4">
        <v>31.978403341</v>
      </c>
      <c r="AD49" s="4">
        <f t="shared" si="4"/>
        <v>4.2253835700085264E-2</v>
      </c>
      <c r="AE49" s="4">
        <v>17.720093231</v>
      </c>
      <c r="AF49" s="4">
        <f t="shared" si="5"/>
        <v>2.3413986620554425E-2</v>
      </c>
      <c r="AG49" s="4">
        <v>165.52956097800001</v>
      </c>
      <c r="AH49" s="4">
        <f t="shared" si="6"/>
        <v>29.37260789329261</v>
      </c>
      <c r="AI49" s="4">
        <v>126.964387872</v>
      </c>
      <c r="AJ49" s="4">
        <f t="shared" si="7"/>
        <v>18.26005117201526</v>
      </c>
      <c r="AK49" s="101">
        <f>SUMIFS($AJ$3:$AJ49,$D$3:$D49,D49)</f>
        <v>210.24147471869952</v>
      </c>
      <c r="AL49" s="4">
        <v>0</v>
      </c>
      <c r="AM49" s="4">
        <f t="shared" si="8"/>
        <v>0</v>
      </c>
      <c r="AN49" s="101">
        <f>SUMIFS($AM$3:$AM49,$D$3:$D49,D49)</f>
        <v>45.464710262726044</v>
      </c>
      <c r="AO49" s="4">
        <f t="shared" si="21"/>
        <v>38.565173106000003</v>
      </c>
      <c r="AP49" s="56">
        <v>596.15757882299999</v>
      </c>
      <c r="AQ49" s="4">
        <f t="shared" si="9"/>
        <v>0.78771738908712985</v>
      </c>
      <c r="AR49" s="4">
        <f>SUMIFS($AP$3:$AP49,$D$3:$D49,D49)</f>
        <v>6413.6968146280005</v>
      </c>
      <c r="AS49" s="4">
        <f t="shared" si="30"/>
        <v>7353.921127224</v>
      </c>
      <c r="AT49" s="97">
        <f t="shared" si="40"/>
        <v>-4.3627696865931043E-3</v>
      </c>
      <c r="AU49" s="97">
        <f t="shared" si="41"/>
        <v>0.12319280174165148</v>
      </c>
      <c r="AV49" s="98">
        <f t="shared" si="52"/>
        <v>0.12476430862704735</v>
      </c>
      <c r="AW49" s="4">
        <v>307.61396518700002</v>
      </c>
      <c r="AX49" s="4">
        <f>SUMIFS($AW$3:$AW49,$D$3:$D49,D49)</f>
        <v>3279.6731602350001</v>
      </c>
      <c r="AY49" s="4">
        <f t="shared" si="31"/>
        <v>3816.9975185659996</v>
      </c>
      <c r="AZ49" s="97">
        <f t="shared" si="42"/>
        <v>0.16138893842279378</v>
      </c>
      <c r="BA49" s="97">
        <f t="shared" si="43"/>
        <v>0.18296464265392443</v>
      </c>
      <c r="BB49" s="97">
        <f t="shared" si="58"/>
        <v>0.18307308350146356</v>
      </c>
      <c r="BC49" s="4">
        <v>228.13104497099999</v>
      </c>
      <c r="BD49" s="4">
        <f t="shared" si="22"/>
        <v>79.482920216000025</v>
      </c>
      <c r="BE49" s="4">
        <v>79.861644753000007</v>
      </c>
      <c r="BF49" s="4">
        <v>24.594130288999999</v>
      </c>
      <c r="BG49" s="4">
        <f t="shared" si="10"/>
        <v>3.5371341927872213</v>
      </c>
      <c r="BH49" s="4">
        <f>Datos1[[#This Row],[Intereses]]/Datos1[[#This Row],[PIB nominal (miles de millones de G.)]]*100</f>
        <v>3.2496817597066421E-2</v>
      </c>
      <c r="BI49" s="4">
        <v>70.032494661000001</v>
      </c>
      <c r="BJ49" s="4">
        <v>100.811057612</v>
      </c>
      <c r="BK49" s="4">
        <v>13.244286320999999</v>
      </c>
      <c r="BL49" s="56">
        <f t="shared" si="60"/>
        <v>215.69508098400001</v>
      </c>
      <c r="BM49" s="56">
        <f>SUMIFS($BL$3:$BL49,$D$3:$D49,D49)</f>
        <v>2411.5994100500006</v>
      </c>
      <c r="BN49" s="56">
        <f t="shared" si="62"/>
        <v>2321.8123772200011</v>
      </c>
      <c r="BO49" s="100">
        <f t="shared" si="44"/>
        <v>0.48255323723735577</v>
      </c>
      <c r="BP49" s="100">
        <f t="shared" si="45"/>
        <v>0.29028842362116114</v>
      </c>
      <c r="BQ49" s="100">
        <f t="shared" si="53"/>
        <v>0.33106590816375303</v>
      </c>
      <c r="BR49" s="2">
        <f t="shared" si="12"/>
        <v>0.2850031133833813</v>
      </c>
      <c r="BS49" s="2">
        <f>+Datos1[[#This Row],[RON acumulado 12 meses]]/Datos1[[#This Row],[PIB nominal (miles de millones de G.)]]*100</f>
        <v>3.0678666995139112</v>
      </c>
      <c r="BT49" s="56">
        <v>197.40265225100001</v>
      </c>
      <c r="BU49" s="56">
        <f>SUMIFS($BT$3:$BT49,$D$3:$D49,D49)</f>
        <v>1229.8885498530001</v>
      </c>
      <c r="BV49" s="56">
        <f t="shared" si="32"/>
        <v>1578.1043354209999</v>
      </c>
      <c r="BW49" s="100">
        <f t="shared" si="46"/>
        <v>-0.19198237918895056</v>
      </c>
      <c r="BX49" s="100">
        <f t="shared" si="47"/>
        <v>0.11735673003222735</v>
      </c>
      <c r="BY49" s="100">
        <f t="shared" si="54"/>
        <v>0.12303777997341636</v>
      </c>
      <c r="BZ49" s="56">
        <f t="shared" si="13"/>
        <v>28.390500612099014</v>
      </c>
      <c r="CA49" s="56">
        <f>Datos1[[#This Row],[Adquisición Neta de Activos no Financieros]]/Datos1[[#This Row],[PIB nominal (miles de millones de G.)]]*100</f>
        <v>0.2608328860584691</v>
      </c>
      <c r="CB49" s="56">
        <f>+Datos1[[#This Row],[ANANF acumulado por año]]/Datos1[[#This Row],[PIB nominal (miles de millones de G.)]]*100</f>
        <v>1.6250814076222637</v>
      </c>
      <c r="CC49" s="56">
        <f>+Datos1[[#This Row],[ANANF acumulado 12 meses]]/Datos1[[#This Row],[PIB nominal (miles de millones de G.)]]*100</f>
        <v>2.0851873245647163</v>
      </c>
      <c r="CD49" s="4">
        <v>96.865009009000019</v>
      </c>
      <c r="CE49" s="4">
        <f t="shared" si="14"/>
        <v>13.931150702394175</v>
      </c>
      <c r="CF49" s="4">
        <f t="shared" si="15"/>
        <v>100.53764324199999</v>
      </c>
      <c r="CG49" s="4">
        <f t="shared" si="16"/>
        <v>14.459349909704843</v>
      </c>
      <c r="CH49" s="56">
        <f t="shared" si="17"/>
        <v>18.292428733000008</v>
      </c>
      <c r="CI49" s="56">
        <f>SUMIFS($CH$3:$CH49,$D$3:$D49,D49)</f>
        <v>1181.7108601970003</v>
      </c>
      <c r="CJ49" s="56">
        <f t="shared" si="63"/>
        <v>743.70804179900051</v>
      </c>
      <c r="CK49" s="56">
        <f>Datos1[[#This Row],[Resultado Fiscal (miles de millones de G.)]]*1000/$F$207</f>
        <v>2.6308218416471836</v>
      </c>
      <c r="CL49" s="56">
        <f t="shared" si="33"/>
        <v>106.9602833353549</v>
      </c>
      <c r="CM49" s="100">
        <f t="shared" si="48"/>
        <v>-1.1851161410495963</v>
      </c>
      <c r="CN49" s="100">
        <f t="shared" si="49"/>
        <v>0.53803216709390722</v>
      </c>
      <c r="CO49" s="100">
        <f t="shared" si="55"/>
        <v>1.1930833976614954</v>
      </c>
      <c r="CP49" s="4">
        <f t="shared" si="18"/>
        <v>2.4170227324912183E-2</v>
      </c>
      <c r="CQ49" s="4">
        <f t="shared" si="64"/>
        <v>0.98267937494919444</v>
      </c>
      <c r="CR49" s="73">
        <v>327.310899608</v>
      </c>
      <c r="CS49" s="113">
        <f>SUM(Datos1[[#This Row],[FFPP]:[MTESS]])</f>
        <v>0</v>
      </c>
      <c r="CT49" s="113"/>
      <c r="CU49" s="113"/>
      <c r="CV49" s="113"/>
      <c r="CW49" s="113"/>
      <c r="CX49" s="113"/>
      <c r="CY49" s="113"/>
      <c r="CZ49" s="113"/>
    </row>
    <row r="50" spans="1:104">
      <c r="A50">
        <v>48</v>
      </c>
      <c r="B50" s="3">
        <v>39052</v>
      </c>
      <c r="C50" s="14" t="str">
        <f t="shared" si="0"/>
        <v>Diciembre</v>
      </c>
      <c r="D50" s="14">
        <f t="shared" si="19"/>
        <v>2006</v>
      </c>
      <c r="E50" s="15">
        <f t="shared" si="1"/>
        <v>75681.657797839813</v>
      </c>
      <c r="F50" s="15">
        <f t="shared" si="59"/>
        <v>5635.5078030303039</v>
      </c>
      <c r="G50" s="56">
        <v>730.60140184099998</v>
      </c>
      <c r="H50" s="4">
        <f t="shared" si="20"/>
        <v>0.96536125542146034</v>
      </c>
      <c r="I50" s="4">
        <f>SUMIFS($G$3:$G50,$D$3:$D50,D50)</f>
        <v>9555.8976265190013</v>
      </c>
      <c r="J50" s="2">
        <f t="shared" si="27"/>
        <v>9555.8976265190013</v>
      </c>
      <c r="K50" s="95">
        <f t="shared" si="34"/>
        <v>0.13359702399958873</v>
      </c>
      <c r="L50" s="95">
        <f t="shared" si="35"/>
        <v>-0.1409108946376072</v>
      </c>
      <c r="M50" s="95">
        <f t="shared" si="50"/>
        <v>0.13359702399958873</v>
      </c>
      <c r="N50" s="4">
        <v>487.239093099</v>
      </c>
      <c r="O50" s="4">
        <f t="shared" si="3"/>
        <v>0.6438007666276403</v>
      </c>
      <c r="P50" s="4">
        <f>SUMIFS($N$3:$N50,$D$3:$D50,D50)</f>
        <v>6294.021115734</v>
      </c>
      <c r="Q50" s="4">
        <f t="shared" si="61"/>
        <v>6294.021115734</v>
      </c>
      <c r="R50" s="97">
        <f t="shared" si="36"/>
        <v>-5.5593244462020741E-2</v>
      </c>
      <c r="S50" s="97">
        <f t="shared" si="37"/>
        <v>0.15059685905054554</v>
      </c>
      <c r="T50" s="97">
        <f t="shared" si="51"/>
        <v>0.15059685905054554</v>
      </c>
      <c r="U50" s="4">
        <v>186.08438151599995</v>
      </c>
      <c r="V50" s="4">
        <f t="shared" si="28"/>
        <v>2790.902413759</v>
      </c>
      <c r="W50" s="97">
        <f t="shared" si="56"/>
        <v>0.19145486840944947</v>
      </c>
      <c r="X50" s="97">
        <f t="shared" si="38"/>
        <v>1.5209920419365419E-2</v>
      </c>
      <c r="Y50" s="4">
        <v>333.31395939399999</v>
      </c>
      <c r="Z50" s="4">
        <f t="shared" si="29"/>
        <v>3486.7703394789992</v>
      </c>
      <c r="AA50" s="97">
        <f t="shared" si="57"/>
        <v>0.11112997453313977</v>
      </c>
      <c r="AB50" s="97">
        <f t="shared" si="39"/>
        <v>-1.4287646290451872E-2</v>
      </c>
      <c r="AC50" s="4">
        <v>57.262907093999999</v>
      </c>
      <c r="AD50" s="4">
        <f t="shared" si="4"/>
        <v>7.5662860407947438E-2</v>
      </c>
      <c r="AE50" s="4">
        <v>12.26484857</v>
      </c>
      <c r="AF50" s="4">
        <f t="shared" si="5"/>
        <v>1.6205840261535705E-2</v>
      </c>
      <c r="AG50" s="4">
        <v>173.834553078</v>
      </c>
      <c r="AH50" s="4">
        <f t="shared" si="6"/>
        <v>30.846298000781108</v>
      </c>
      <c r="AI50" s="4">
        <v>125.32086581900001</v>
      </c>
      <c r="AJ50" s="4">
        <f t="shared" si="7"/>
        <v>18.023679404363598</v>
      </c>
      <c r="AK50" s="101">
        <f>SUMIFS($AJ$3:$AJ50,$D$3:$D50,D50)</f>
        <v>228.26515412306313</v>
      </c>
      <c r="AL50" s="4">
        <v>0</v>
      </c>
      <c r="AM50" s="4">
        <f t="shared" si="8"/>
        <v>0</v>
      </c>
      <c r="AN50" s="101">
        <f>SUMIFS($AM$3:$AM50,$D$3:$D50,D50)</f>
        <v>45.464710262726044</v>
      </c>
      <c r="AO50" s="4">
        <f t="shared" si="21"/>
        <v>48.513687258999994</v>
      </c>
      <c r="AP50" s="56">
        <v>1226.9523301750003</v>
      </c>
      <c r="AQ50" s="4">
        <f t="shared" si="9"/>
        <v>1.6212017097358316</v>
      </c>
      <c r="AR50" s="4">
        <f>SUMIFS($AP$3:$AP50,$D$3:$D50,D50)</f>
        <v>7640.649144803001</v>
      </c>
      <c r="AS50" s="4">
        <f t="shared" si="30"/>
        <v>7640.649144803001</v>
      </c>
      <c r="AT50" s="97">
        <f t="shared" si="40"/>
        <v>0.30495703390963391</v>
      </c>
      <c r="AU50" s="97">
        <f t="shared" si="41"/>
        <v>0.14889014041007109</v>
      </c>
      <c r="AV50" s="98">
        <f t="shared" si="52"/>
        <v>0.14889014041007109</v>
      </c>
      <c r="AW50" s="4">
        <v>612.80737777599995</v>
      </c>
      <c r="AX50" s="4">
        <f>SUMIFS($AW$3:$AW50,$D$3:$D50,D50)</f>
        <v>3892.4805380110001</v>
      </c>
      <c r="AY50" s="4">
        <f t="shared" si="31"/>
        <v>3892.4805380110001</v>
      </c>
      <c r="AZ50" s="97">
        <f t="shared" si="42"/>
        <v>0.14047942974232575</v>
      </c>
      <c r="BA50" s="97">
        <f t="shared" si="43"/>
        <v>0.1760673276177398</v>
      </c>
      <c r="BB50" s="97">
        <f t="shared" si="58"/>
        <v>0.1760673276177398</v>
      </c>
      <c r="BC50" s="4">
        <v>240.06158311600001</v>
      </c>
      <c r="BD50" s="4">
        <f t="shared" si="22"/>
        <v>372.74579465999994</v>
      </c>
      <c r="BE50" s="4">
        <v>101.99053768500001</v>
      </c>
      <c r="BF50" s="4">
        <v>40.898029745000002</v>
      </c>
      <c r="BG50" s="4">
        <f t="shared" si="10"/>
        <v>5.8819652384036525</v>
      </c>
      <c r="BH50" s="4">
        <f>Datos1[[#This Row],[Intereses]]/Datos1[[#This Row],[PIB nominal (miles de millones de G.)]]*100</f>
        <v>5.4039553222058723E-2</v>
      </c>
      <c r="BI50" s="4">
        <v>271.01056955799999</v>
      </c>
      <c r="BJ50" s="4">
        <v>161.91646080099997</v>
      </c>
      <c r="BK50" s="4">
        <v>38.329354610000003</v>
      </c>
      <c r="BL50" s="56">
        <f t="shared" si="60"/>
        <v>-496.35092833400029</v>
      </c>
      <c r="BM50" s="56">
        <f>SUMIFS($BL$3:$BL50,$D$3:$D50,D50)</f>
        <v>1915.2484817160002</v>
      </c>
      <c r="BN50" s="56">
        <f t="shared" si="62"/>
        <v>1915.2484817160002</v>
      </c>
      <c r="BO50" s="100">
        <f t="shared" si="44"/>
        <v>4.528091448057733</v>
      </c>
      <c r="BP50" s="100">
        <f t="shared" si="45"/>
        <v>7.6434645656836997E-2</v>
      </c>
      <c r="BQ50" s="100">
        <f t="shared" si="53"/>
        <v>7.6434645656836997E-2</v>
      </c>
      <c r="BR50" s="2">
        <f t="shared" si="12"/>
        <v>-0.6558404543143711</v>
      </c>
      <c r="BS50" s="2">
        <f>+Datos1[[#This Row],[RON acumulado 12 meses]]/Datos1[[#This Row],[PIB nominal (miles de millones de G.)]]*100</f>
        <v>2.5306640174717043</v>
      </c>
      <c r="BT50" s="56">
        <v>348.85451118799995</v>
      </c>
      <c r="BU50" s="56">
        <f>SUMIFS($BT$3:$BT50,$D$3:$D50,D50)</f>
        <v>1578.7430610410001</v>
      </c>
      <c r="BV50" s="56">
        <f t="shared" si="32"/>
        <v>1578.7430610410001</v>
      </c>
      <c r="BW50" s="100">
        <f t="shared" si="46"/>
        <v>1.8342810592519854E-3</v>
      </c>
      <c r="BX50" s="100">
        <f t="shared" si="47"/>
        <v>8.9593630939287738E-2</v>
      </c>
      <c r="BY50" s="100">
        <f t="shared" si="54"/>
        <v>8.9593630939287738E-2</v>
      </c>
      <c r="BZ50" s="56">
        <f t="shared" si="13"/>
        <v>50.172346219660504</v>
      </c>
      <c r="CA50" s="56">
        <f>Datos1[[#This Row],[Adquisición Neta de Activos no Financieros]]/Datos1[[#This Row],[PIB nominal (miles de millones de G.)]]*100</f>
        <v>0.46094988051114982</v>
      </c>
      <c r="CB50" s="56">
        <f>+Datos1[[#This Row],[ANANF acumulado por año]]/Datos1[[#This Row],[PIB nominal (miles de millones de G.)]]*100</f>
        <v>2.0860312881334142</v>
      </c>
      <c r="CC50" s="56">
        <f>+Datos1[[#This Row],[ANANF acumulado 12 meses]]/Datos1[[#This Row],[PIB nominal (miles de millones de G.)]]*100</f>
        <v>2.0860312881334142</v>
      </c>
      <c r="CD50" s="4">
        <v>90.774035061000006</v>
      </c>
      <c r="CE50" s="4">
        <f t="shared" si="14"/>
        <v>13.055145250455787</v>
      </c>
      <c r="CF50" s="4">
        <f t="shared" si="15"/>
        <v>258.08047612699994</v>
      </c>
      <c r="CG50" s="4">
        <f t="shared" si="16"/>
        <v>37.11720096920471</v>
      </c>
      <c r="CH50" s="56">
        <f t="shared" si="17"/>
        <v>-845.20543952200023</v>
      </c>
      <c r="CI50" s="56">
        <f>SUMIFS($CH$3:$CH50,$D$3:$D50,D50)</f>
        <v>336.5054206750001</v>
      </c>
      <c r="CJ50" s="56">
        <f t="shared" si="63"/>
        <v>336.5054206750001</v>
      </c>
      <c r="CK50" s="56">
        <f>Datos1[[#This Row],[Resultado Fiscal (miles de millones de G.)]]*1000/$F$207</f>
        <v>-121.5576653832786</v>
      </c>
      <c r="CL50" s="56">
        <f t="shared" si="33"/>
        <v>48.39629682128465</v>
      </c>
      <c r="CM50" s="100">
        <f t="shared" si="48"/>
        <v>0.92968036738518878</v>
      </c>
      <c r="CN50" s="100">
        <f t="shared" si="49"/>
        <v>1.8714210100150064E-2</v>
      </c>
      <c r="CO50" s="100">
        <f t="shared" si="55"/>
        <v>1.8714210100150064E-2</v>
      </c>
      <c r="CP50" s="4">
        <f t="shared" si="18"/>
        <v>-1.116790334825521</v>
      </c>
      <c r="CQ50" s="4">
        <f t="shared" si="64"/>
        <v>0.44463272933829023</v>
      </c>
      <c r="CR50" s="73">
        <v>645.52500773999998</v>
      </c>
      <c r="CS50" s="113">
        <f>SUM(Datos1[[#This Row],[FFPP]:[MTESS]])</f>
        <v>0</v>
      </c>
      <c r="CT50" s="113"/>
      <c r="CU50" s="113"/>
      <c r="CV50" s="113"/>
      <c r="CW50" s="113"/>
      <c r="CX50" s="113"/>
      <c r="CY50" s="113"/>
      <c r="CZ50" s="113"/>
    </row>
    <row r="51" spans="1:104">
      <c r="A51">
        <v>49</v>
      </c>
      <c r="B51" s="76">
        <v>39083</v>
      </c>
      <c r="C51" s="14" t="str">
        <f t="shared" si="0"/>
        <v>Enero</v>
      </c>
      <c r="D51" s="14">
        <f t="shared" si="19"/>
        <v>2007</v>
      </c>
      <c r="E51" s="15">
        <f t="shared" si="1"/>
        <v>89866.048799896729</v>
      </c>
      <c r="F51" s="15">
        <f t="shared" si="59"/>
        <v>5032.744607430137</v>
      </c>
      <c r="G51" s="56">
        <v>784.47254017</v>
      </c>
      <c r="H51" s="4">
        <f t="shared" si="20"/>
        <v>0.8729353862177387</v>
      </c>
      <c r="I51" s="4">
        <f>SUMIFS($G$3:$G51,$D$3:$D51,D51)</f>
        <v>784.47254017</v>
      </c>
      <c r="J51" s="2">
        <f t="shared" si="27"/>
        <v>9535.8645221129991</v>
      </c>
      <c r="K51" s="95">
        <f t="shared" si="34"/>
        <v>-2.4901135922493101E-2</v>
      </c>
      <c r="L51" s="95">
        <f t="shared" si="35"/>
        <v>-2.4901135922493101E-2</v>
      </c>
      <c r="M51" s="95">
        <f t="shared" si="50"/>
        <v>9.9146835287429402E-2</v>
      </c>
      <c r="N51" s="4">
        <v>553.29392444600001</v>
      </c>
      <c r="O51" s="4">
        <f t="shared" si="3"/>
        <v>0.61568738342776208</v>
      </c>
      <c r="P51" s="4">
        <f>SUMIFS($N$3:$N51,$D$3:$D51,D51)</f>
        <v>553.29392444600001</v>
      </c>
      <c r="Q51" s="4">
        <f t="shared" si="61"/>
        <v>6353.0168365000018</v>
      </c>
      <c r="R51" s="97">
        <f t="shared" si="36"/>
        <v>0.11935248869363257</v>
      </c>
      <c r="S51" s="97">
        <f t="shared" si="37"/>
        <v>0.11935248869363257</v>
      </c>
      <c r="T51" s="97">
        <f t="shared" si="51"/>
        <v>0.14141105949891486</v>
      </c>
      <c r="U51" s="4">
        <v>236.31585013400002</v>
      </c>
      <c r="V51" s="4">
        <f t="shared" si="28"/>
        <v>2818.3538815909997</v>
      </c>
      <c r="W51" s="97">
        <f t="shared" si="56"/>
        <v>0.18358910100592341</v>
      </c>
      <c r="X51" s="97">
        <f t="shared" si="38"/>
        <v>0.13143202076602756</v>
      </c>
      <c r="Y51" s="4">
        <v>309.42413020566664</v>
      </c>
      <c r="Z51" s="4">
        <f t="shared" si="29"/>
        <v>3525.0808007966662</v>
      </c>
      <c r="AA51" s="97">
        <f t="shared" si="57"/>
        <v>0.10629645200632543</v>
      </c>
      <c r="AB51" s="97">
        <f t="shared" si="39"/>
        <v>0.14130774547370062</v>
      </c>
      <c r="AC51" s="4">
        <v>55.234476069999999</v>
      </c>
      <c r="AD51" s="4">
        <f t="shared" si="4"/>
        <v>6.1463118505398748E-2</v>
      </c>
      <c r="AE51" s="4">
        <v>7.0445016660000004</v>
      </c>
      <c r="AF51" s="4">
        <f t="shared" si="5"/>
        <v>7.8388910607229186E-3</v>
      </c>
      <c r="AG51" s="4">
        <v>168.89963798799999</v>
      </c>
      <c r="AH51" s="4">
        <f t="shared" si="6"/>
        <v>33.560144843957218</v>
      </c>
      <c r="AI51" s="4">
        <v>123.47140217899999</v>
      </c>
      <c r="AJ51" s="4">
        <f t="shared" si="7"/>
        <v>17.757689064291007</v>
      </c>
      <c r="AK51" s="101">
        <f>SUMIFS($AJ$3:$AJ51,$D$3:$D51,D51)</f>
        <v>17.757689064291007</v>
      </c>
      <c r="AL51" s="4">
        <v>15.553595251999999</v>
      </c>
      <c r="AM51" s="4">
        <f t="shared" si="8"/>
        <v>2.2369221005236488</v>
      </c>
      <c r="AN51" s="101">
        <f>SUMIFS($AM$3:$AM51,$D$3:$D51,D51)</f>
        <v>2.2369221005236488</v>
      </c>
      <c r="AO51" s="4">
        <f t="shared" si="21"/>
        <v>29.874640556999999</v>
      </c>
      <c r="AP51" s="56">
        <v>541.194549585</v>
      </c>
      <c r="AQ51" s="4">
        <f t="shared" si="9"/>
        <v>0.60222359479726217</v>
      </c>
      <c r="AR51" s="4">
        <f>SUMIFS($AP$3:$AP51,$D$3:$D51,D51)</f>
        <v>541.194549585</v>
      </c>
      <c r="AS51" s="4">
        <f t="shared" si="30"/>
        <v>7666.271887844001</v>
      </c>
      <c r="AT51" s="97">
        <f t="shared" si="40"/>
        <v>4.969771953349289E-2</v>
      </c>
      <c r="AU51" s="97">
        <f t="shared" si="41"/>
        <v>4.969771953349289E-2</v>
      </c>
      <c r="AV51" s="98">
        <f t="shared" si="52"/>
        <v>0.13102272649297353</v>
      </c>
      <c r="AW51" s="4">
        <v>305.87104220600008</v>
      </c>
      <c r="AX51" s="4">
        <f>SUMIFS($AW$3:$AW51,$D$3:$D51,D51)</f>
        <v>305.87104220600008</v>
      </c>
      <c r="AY51" s="4">
        <f t="shared" si="31"/>
        <v>3910.582003857</v>
      </c>
      <c r="AZ51" s="97">
        <f t="shared" si="42"/>
        <v>6.2902639239928337E-2</v>
      </c>
      <c r="BA51" s="97">
        <f t="shared" si="43"/>
        <v>6.2902639239928337E-2</v>
      </c>
      <c r="BB51" s="97">
        <f t="shared" si="58"/>
        <v>0.16548370811593593</v>
      </c>
      <c r="BC51" s="4">
        <v>239.89404385200001</v>
      </c>
      <c r="BD51" s="4">
        <f t="shared" si="22"/>
        <v>65.976998354000074</v>
      </c>
      <c r="BE51" s="4">
        <v>15.634606680999998</v>
      </c>
      <c r="BF51" s="4">
        <v>92.886776473000012</v>
      </c>
      <c r="BG51" s="4">
        <f t="shared" si="10"/>
        <v>13.359000267937143</v>
      </c>
      <c r="BH51" s="4">
        <f>Datos1[[#This Row],[Intereses]]/Datos1[[#This Row],[PIB nominal (miles de millones de G.)]]*100</f>
        <v>0.10336136696054089</v>
      </c>
      <c r="BI51" s="4">
        <v>26.072562599999998</v>
      </c>
      <c r="BJ51" s="4">
        <v>99.704999147999999</v>
      </c>
      <c r="BK51" s="4">
        <v>1.0245624769999999</v>
      </c>
      <c r="BL51" s="56">
        <f t="shared" si="60"/>
        <v>243.277990585</v>
      </c>
      <c r="BM51" s="56">
        <f>SUMIFS($BL$3:$BL51,$D$3:$D51,D51)</f>
        <v>243.277990585</v>
      </c>
      <c r="BN51" s="56">
        <f t="shared" si="62"/>
        <v>1869.5926342690002</v>
      </c>
      <c r="BO51" s="100">
        <f t="shared" si="44"/>
        <v>-0.15801488589212376</v>
      </c>
      <c r="BP51" s="100">
        <f t="shared" si="45"/>
        <v>-0.15801488589212376</v>
      </c>
      <c r="BQ51" s="100">
        <f t="shared" si="53"/>
        <v>-1.4717802597412288E-2</v>
      </c>
      <c r="BR51" s="2">
        <f t="shared" si="12"/>
        <v>0.27071179142047641</v>
      </c>
      <c r="BS51" s="2">
        <f>+Datos1[[#This Row],[RON acumulado 12 meses]]/Datos1[[#This Row],[PIB nominal (miles de millones de G.)]]*100</f>
        <v>2.0804215376509898</v>
      </c>
      <c r="BT51" s="56">
        <v>84.449454943000006</v>
      </c>
      <c r="BU51" s="56">
        <f>SUMIFS($BT$3:$BT51,$D$3:$D51,D51)</f>
        <v>84.449454943000006</v>
      </c>
      <c r="BV51" s="56">
        <f t="shared" si="32"/>
        <v>1651.436641706</v>
      </c>
      <c r="BW51" s="100">
        <f t="shared" si="46"/>
        <v>6.1835962979834802</v>
      </c>
      <c r="BX51" s="100">
        <f t="shared" si="47"/>
        <v>6.1835962979834802</v>
      </c>
      <c r="BY51" s="100">
        <f t="shared" si="54"/>
        <v>0.15491582613007226</v>
      </c>
      <c r="BZ51" s="56">
        <f t="shared" si="13"/>
        <v>12.14554249859895</v>
      </c>
      <c r="CA51" s="56">
        <f>Datos1[[#This Row],[Adquisición Neta de Activos no Financieros]]/Datos1[[#This Row],[PIB nominal (miles de millones de G.)]]*100</f>
        <v>9.3972591507881065E-2</v>
      </c>
      <c r="CB51" s="56">
        <f>+Datos1[[#This Row],[ANANF acumulado por año]]/Datos1[[#This Row],[PIB nominal (miles de millones de G.)]]*100</f>
        <v>9.3972591507881065E-2</v>
      </c>
      <c r="CC51" s="56">
        <f>+Datos1[[#This Row],[ANANF acumulado 12 meses]]/Datos1[[#This Row],[PIB nominal (miles de millones de G.)]]*100</f>
        <v>1.8376646840045534</v>
      </c>
      <c r="CD51" s="4">
        <v>77.053257311999985</v>
      </c>
      <c r="CE51" s="4">
        <f t="shared" si="14"/>
        <v>11.081819438266827</v>
      </c>
      <c r="CF51" s="4">
        <f t="shared" si="15"/>
        <v>7.396197631000021</v>
      </c>
      <c r="CG51" s="4">
        <f t="shared" si="16"/>
        <v>1.0637230603321222</v>
      </c>
      <c r="CH51" s="56">
        <f t="shared" si="17"/>
        <v>158.82853564199999</v>
      </c>
      <c r="CI51" s="56">
        <f>SUMIFS($CH$3:$CH51,$D$3:$D51,D51)</f>
        <v>158.82853564199999</v>
      </c>
      <c r="CJ51" s="56">
        <f t="shared" si="63"/>
        <v>218.15599256300024</v>
      </c>
      <c r="CK51" s="56">
        <f>Datos1[[#This Row],[Resultado Fiscal (miles de millones de G.)]]*1000/$F$207</f>
        <v>22.842761163256604</v>
      </c>
      <c r="CL51" s="56">
        <f t="shared" si="33"/>
        <v>31.375251394888771</v>
      </c>
      <c r="CM51" s="100">
        <f t="shared" si="48"/>
        <v>-0.42697993198707873</v>
      </c>
      <c r="CN51" s="100">
        <f t="shared" si="49"/>
        <v>-0.42697993198707873</v>
      </c>
      <c r="CO51" s="100">
        <f t="shared" si="55"/>
        <v>-0.53345643492218298</v>
      </c>
      <c r="CP51" s="4">
        <f t="shared" si="18"/>
        <v>0.17673919991259537</v>
      </c>
      <c r="CQ51" s="4">
        <f t="shared" si="64"/>
        <v>0.24275685364643618</v>
      </c>
      <c r="CR51" s="73">
        <v>323.00489772499998</v>
      </c>
      <c r="CS51" s="113">
        <f>SUM(Datos1[[#This Row],[FFPP]:[MTESS]])</f>
        <v>0</v>
      </c>
      <c r="CT51" s="113"/>
      <c r="CU51" s="113"/>
      <c r="CV51" s="113"/>
      <c r="CW51" s="113"/>
      <c r="CX51" s="113"/>
      <c r="CY51" s="113"/>
      <c r="CZ51" s="113"/>
    </row>
    <row r="52" spans="1:104">
      <c r="A52">
        <v>50</v>
      </c>
      <c r="B52" s="3">
        <v>39114</v>
      </c>
      <c r="C52" s="14" t="str">
        <f t="shared" si="0"/>
        <v>Febrero</v>
      </c>
      <c r="D52" s="14">
        <f t="shared" si="19"/>
        <v>2007</v>
      </c>
      <c r="E52" s="15">
        <f t="shared" si="1"/>
        <v>89866.048799896729</v>
      </c>
      <c r="F52" s="15">
        <f t="shared" si="59"/>
        <v>5032.744607430137</v>
      </c>
      <c r="G52" s="56">
        <v>630.8556811819999</v>
      </c>
      <c r="H52" s="4">
        <f t="shared" si="20"/>
        <v>0.70199556963577647</v>
      </c>
      <c r="I52" s="4">
        <f>SUMIFS($G$3:$G52,$D$3:$D52,D52)</f>
        <v>1415.3282213519999</v>
      </c>
      <c r="J52" s="2">
        <f t="shared" si="27"/>
        <v>9464.383797075001</v>
      </c>
      <c r="K52" s="95">
        <f t="shared" si="34"/>
        <v>-6.0732197774582386E-2</v>
      </c>
      <c r="L52" s="95">
        <f t="shared" si="35"/>
        <v>-0.10177562262892226</v>
      </c>
      <c r="M52" s="95">
        <f t="shared" si="50"/>
        <v>7.7523183722403965E-2</v>
      </c>
      <c r="N52" s="4">
        <v>413.206984955</v>
      </c>
      <c r="O52" s="4">
        <f t="shared" si="3"/>
        <v>0.45980321876071495</v>
      </c>
      <c r="P52" s="4">
        <f>SUMIFS($N$3:$N52,$D$3:$D52,D52)</f>
        <v>966.50090940099994</v>
      </c>
      <c r="Q52" s="4">
        <f t="shared" si="61"/>
        <v>6329.6071632760013</v>
      </c>
      <c r="R52" s="97">
        <f t="shared" si="36"/>
        <v>-5.3616078968756975E-2</v>
      </c>
      <c r="S52" s="97">
        <f t="shared" si="37"/>
        <v>3.8226962529028796E-2</v>
      </c>
      <c r="T52" s="97">
        <f t="shared" si="51"/>
        <v>0.12343188605244371</v>
      </c>
      <c r="U52" s="4">
        <v>183.47039304299997</v>
      </c>
      <c r="V52" s="4">
        <f t="shared" si="28"/>
        <v>2814.9743526739999</v>
      </c>
      <c r="W52" s="97">
        <f t="shared" si="56"/>
        <v>0.16433518301179495</v>
      </c>
      <c r="X52" s="97">
        <f t="shared" si="38"/>
        <v>-1.8086862876632748E-2</v>
      </c>
      <c r="Y52" s="4">
        <v>263.02489272466664</v>
      </c>
      <c r="Z52" s="4">
        <f t="shared" si="29"/>
        <v>3527.269830346333</v>
      </c>
      <c r="AA52" s="97">
        <f t="shared" si="57"/>
        <v>9.4057035154816004E-2</v>
      </c>
      <c r="AB52" s="97">
        <f t="shared" si="39"/>
        <v>8.3923641596708176E-3</v>
      </c>
      <c r="AC52" s="4">
        <v>19.662443227000001</v>
      </c>
      <c r="AD52" s="4">
        <f t="shared" si="4"/>
        <v>2.1879723755054641E-2</v>
      </c>
      <c r="AE52" s="4">
        <v>35.741812076999992</v>
      </c>
      <c r="AF52" s="4">
        <f t="shared" si="5"/>
        <v>3.9772319529242581E-2</v>
      </c>
      <c r="AG52" s="4">
        <v>162.24444092299998</v>
      </c>
      <c r="AH52" s="4">
        <f t="shared" si="6"/>
        <v>32.237765588873508</v>
      </c>
      <c r="AI52" s="4">
        <v>125.943392437</v>
      </c>
      <c r="AJ52" s="4">
        <f t="shared" si="7"/>
        <v>18.11321134391882</v>
      </c>
      <c r="AK52" s="101">
        <f>SUMIFS($AJ$3:$AJ52,$D$3:$D52,D52)</f>
        <v>35.870900408209828</v>
      </c>
      <c r="AL52" s="4">
        <v>0</v>
      </c>
      <c r="AM52" s="4">
        <f t="shared" si="8"/>
        <v>0</v>
      </c>
      <c r="AN52" s="101">
        <f>SUMIFS($AM$3:$AM52,$D$3:$D52,D52)</f>
        <v>2.2369221005236488</v>
      </c>
      <c r="AO52" s="4">
        <f t="shared" si="21"/>
        <v>36.301048485999985</v>
      </c>
      <c r="AP52" s="56">
        <v>559.20938584600003</v>
      </c>
      <c r="AQ52" s="4">
        <f t="shared" si="9"/>
        <v>0.62226991540618692</v>
      </c>
      <c r="AR52" s="4">
        <f>SUMIFS($AP$3:$AP52,$D$3:$D52,D52)</f>
        <v>1100.403935431</v>
      </c>
      <c r="AS52" s="4">
        <f t="shared" si="30"/>
        <v>7739.6200827340008</v>
      </c>
      <c r="AT52" s="97">
        <f t="shared" si="40"/>
        <v>0.15096532971830334</v>
      </c>
      <c r="AU52" s="97">
        <f t="shared" si="41"/>
        <v>9.8829315768576897E-2</v>
      </c>
      <c r="AV52" s="98">
        <f t="shared" si="52"/>
        <v>0.14391829469671746</v>
      </c>
      <c r="AW52" s="4">
        <v>332.73173100700001</v>
      </c>
      <c r="AX52" s="4">
        <f>SUMIFS($AW$3:$AW52,$D$3:$D52,D52)</f>
        <v>638.60277321300009</v>
      </c>
      <c r="AY52" s="4">
        <f t="shared" si="31"/>
        <v>3948.5139928890003</v>
      </c>
      <c r="AZ52" s="97">
        <f t="shared" si="42"/>
        <v>0.12867036035335744</v>
      </c>
      <c r="BA52" s="97">
        <f t="shared" si="43"/>
        <v>9.6183326369032596E-2</v>
      </c>
      <c r="BB52" s="97">
        <f t="shared" si="58"/>
        <v>0.16215600271006769</v>
      </c>
      <c r="BC52" s="4">
        <v>243.01936352999999</v>
      </c>
      <c r="BD52" s="4">
        <f t="shared" si="22"/>
        <v>89.712367477000015</v>
      </c>
      <c r="BE52" s="4">
        <v>20.634505357999998</v>
      </c>
      <c r="BF52" s="4">
        <v>23.529761198999999</v>
      </c>
      <c r="BG52" s="4">
        <f t="shared" si="10"/>
        <v>3.3840563543865412</v>
      </c>
      <c r="BH52" s="4">
        <f>Datos1[[#This Row],[Intereses]]/Datos1[[#This Row],[PIB nominal (miles de millones de G.)]]*100</f>
        <v>2.6183148712138594E-2</v>
      </c>
      <c r="BI52" s="4">
        <v>58.804678139000004</v>
      </c>
      <c r="BJ52" s="4">
        <v>101.9603327</v>
      </c>
      <c r="BK52" s="4">
        <v>21.548377443000003</v>
      </c>
      <c r="BL52" s="56">
        <f t="shared" si="60"/>
        <v>71.646295335999866</v>
      </c>
      <c r="BM52" s="56">
        <f>SUMIFS($BL$3:$BL52,$D$3:$D52,D52)</f>
        <v>314.92428592099986</v>
      </c>
      <c r="BN52" s="56">
        <f t="shared" si="62"/>
        <v>1724.7637143410002</v>
      </c>
      <c r="BO52" s="100">
        <f t="shared" si="44"/>
        <v>-0.66903234049854454</v>
      </c>
      <c r="BP52" s="100">
        <f t="shared" si="45"/>
        <v>-0.37689227395663605</v>
      </c>
      <c r="BQ52" s="100">
        <f t="shared" si="53"/>
        <v>-0.1451309348921882</v>
      </c>
      <c r="BR52" s="2">
        <f t="shared" si="12"/>
        <v>7.9725654229589535E-2</v>
      </c>
      <c r="BS52" s="2">
        <f>+Datos1[[#This Row],[RON acumulado 12 meses]]/Datos1[[#This Row],[PIB nominal (miles de millones de G.)]]*100</f>
        <v>1.9192606522419868</v>
      </c>
      <c r="BT52" s="56">
        <v>16.131228775</v>
      </c>
      <c r="BU52" s="56">
        <f>SUMIFS($BT$3:$BT52,$D$3:$D52,D52)</f>
        <v>100.580683718</v>
      </c>
      <c r="BV52" s="56">
        <f t="shared" si="32"/>
        <v>1638.4049037500001</v>
      </c>
      <c r="BW52" s="100">
        <f t="shared" si="46"/>
        <v>-0.4468591304926246</v>
      </c>
      <c r="BX52" s="100">
        <f t="shared" si="47"/>
        <v>1.4580530933385316</v>
      </c>
      <c r="BY52" s="100">
        <f t="shared" si="54"/>
        <v>0.14647947867529254</v>
      </c>
      <c r="BZ52" s="56">
        <f t="shared" si="13"/>
        <v>2.3199975035200002</v>
      </c>
      <c r="CA52" s="56">
        <f>Datos1[[#This Row],[Adquisición Neta de Activos no Financieros]]/Datos1[[#This Row],[PIB nominal (miles de millones de G.)]]*100</f>
        <v>1.7950303802628673E-2</v>
      </c>
      <c r="CB52" s="56">
        <f>+Datos1[[#This Row],[ANANF acumulado por año]]/Datos1[[#This Row],[PIB nominal (miles de millones de G.)]]*100</f>
        <v>0.11192289531050974</v>
      </c>
      <c r="CC52" s="56">
        <f>+Datos1[[#This Row],[ANANF acumulado 12 meses]]/Datos1[[#This Row],[PIB nominal (miles de millones de G.)]]*100</f>
        <v>1.8231633922152399</v>
      </c>
      <c r="CD52" s="4">
        <v>0.77155797699999995</v>
      </c>
      <c r="CE52" s="4">
        <f t="shared" si="14"/>
        <v>0.11096566823446725</v>
      </c>
      <c r="CF52" s="4">
        <f t="shared" si="15"/>
        <v>15.359670798</v>
      </c>
      <c r="CG52" s="4">
        <f t="shared" si="16"/>
        <v>2.2090318352855332</v>
      </c>
      <c r="CH52" s="56">
        <f t="shared" si="17"/>
        <v>55.51506656099987</v>
      </c>
      <c r="CI52" s="56">
        <f>SUMIFS($CH$3:$CH52,$D$3:$D52,D52)</f>
        <v>214.34360220299988</v>
      </c>
      <c r="CJ52" s="56">
        <f t="shared" si="63"/>
        <v>86.35881059099988</v>
      </c>
      <c r="CK52" s="56">
        <f>Datos1[[#This Row],[Resultado Fiscal (miles de millones de G.)]]*1000/$F$207</f>
        <v>7.9841912619124917</v>
      </c>
      <c r="CL52" s="56">
        <f t="shared" si="33"/>
        <v>12.4201465227857</v>
      </c>
      <c r="CM52" s="100">
        <f t="shared" si="48"/>
        <v>-0.70362287039003024</v>
      </c>
      <c r="CN52" s="100">
        <f t="shared" si="49"/>
        <v>-0.53854011014001535</v>
      </c>
      <c r="CO52" s="100">
        <f t="shared" si="55"/>
        <v>-0.85325648032865309</v>
      </c>
      <c r="CP52" s="4">
        <f t="shared" si="18"/>
        <v>6.1775350426960869E-2</v>
      </c>
      <c r="CQ52" s="4">
        <f t="shared" si="64"/>
        <v>9.6097260026746734E-2</v>
      </c>
      <c r="CR52" s="73">
        <v>350.308373733</v>
      </c>
      <c r="CS52" s="113">
        <f>SUM(Datos1[[#This Row],[FFPP]:[MTESS]])</f>
        <v>0</v>
      </c>
      <c r="CT52" s="113"/>
      <c r="CU52" s="113"/>
      <c r="CV52" s="113"/>
      <c r="CW52" s="113"/>
      <c r="CX52" s="113"/>
      <c r="CY52" s="113"/>
      <c r="CZ52" s="113"/>
    </row>
    <row r="53" spans="1:104">
      <c r="A53">
        <v>51</v>
      </c>
      <c r="B53" s="3">
        <v>39142</v>
      </c>
      <c r="C53" s="14" t="str">
        <f t="shared" si="0"/>
        <v>Marzo</v>
      </c>
      <c r="D53" s="14">
        <f t="shared" si="19"/>
        <v>2007</v>
      </c>
      <c r="E53" s="15">
        <f t="shared" si="1"/>
        <v>89866.048799896729</v>
      </c>
      <c r="F53" s="15">
        <f t="shared" si="59"/>
        <v>5032.744607430137</v>
      </c>
      <c r="G53" s="56">
        <v>1056.3024390750002</v>
      </c>
      <c r="H53" s="4">
        <f t="shared" si="20"/>
        <v>1.1754188074153027</v>
      </c>
      <c r="I53" s="4">
        <f>SUMIFS($G$3:$G53,$D$3:$D53,D53)</f>
        <v>2471.6306604270003</v>
      </c>
      <c r="J53" s="2">
        <f t="shared" si="27"/>
        <v>9775.3239299050001</v>
      </c>
      <c r="K53" s="95">
        <f t="shared" si="34"/>
        <v>9.7427350542154123E-2</v>
      </c>
      <c r="L53" s="95">
        <f t="shared" si="35"/>
        <v>0.41716643064023451</v>
      </c>
      <c r="M53" s="95">
        <f t="shared" si="50"/>
        <v>0.11155341733407509</v>
      </c>
      <c r="N53" s="4">
        <v>567.68530295200003</v>
      </c>
      <c r="O53" s="4">
        <f t="shared" si="3"/>
        <v>0.63170163875353602</v>
      </c>
      <c r="P53" s="4">
        <f>SUMIFS($N$3:$N53,$D$3:$D53,D53)</f>
        <v>1534.186212353</v>
      </c>
      <c r="Q53" s="4">
        <f t="shared" si="61"/>
        <v>6390.1438714180013</v>
      </c>
      <c r="R53" s="97">
        <f t="shared" si="36"/>
        <v>0.11936680641830377</v>
      </c>
      <c r="S53" s="97">
        <f t="shared" si="37"/>
        <v>6.6841803981758874E-2</v>
      </c>
      <c r="T53" s="97">
        <f t="shared" si="51"/>
        <v>0.10198678332512801</v>
      </c>
      <c r="U53" s="4">
        <v>176.28395525900001</v>
      </c>
      <c r="V53" s="4">
        <f t="shared" si="28"/>
        <v>2768.7423398139999</v>
      </c>
      <c r="W53" s="97">
        <f t="shared" si="56"/>
        <v>0.10740687172559449</v>
      </c>
      <c r="X53" s="97">
        <f t="shared" si="38"/>
        <v>-0.20776941650891056</v>
      </c>
      <c r="Y53" s="4">
        <v>338.01414034566659</v>
      </c>
      <c r="Z53" s="4">
        <f t="shared" si="29"/>
        <v>3594.5315734599994</v>
      </c>
      <c r="AA53" s="97">
        <f t="shared" si="57"/>
        <v>0.10374463661763866</v>
      </c>
      <c r="AB53" s="97">
        <f t="shared" si="39"/>
        <v>0.24842529115645084</v>
      </c>
      <c r="AC53" s="4">
        <v>116.233101667</v>
      </c>
      <c r="AD53" s="4">
        <f t="shared" si="4"/>
        <v>0.12934039408566228</v>
      </c>
      <c r="AE53" s="4">
        <v>73.344180709999989</v>
      </c>
      <c r="AF53" s="4">
        <f t="shared" si="5"/>
        <v>8.1615005543766911E-2</v>
      </c>
      <c r="AG53" s="4">
        <v>299.03985374600001</v>
      </c>
      <c r="AH53" s="4">
        <f t="shared" si="6"/>
        <v>59.418841421937017</v>
      </c>
      <c r="AI53" s="4">
        <v>138.17452801900001</v>
      </c>
      <c r="AJ53" s="4">
        <f t="shared" si="7"/>
        <v>19.872296433545213</v>
      </c>
      <c r="AK53" s="101">
        <f>SUMIFS($AJ$3:$AJ53,$D$3:$D53,D53)</f>
        <v>55.743196841755037</v>
      </c>
      <c r="AL53" s="4">
        <v>102</v>
      </c>
      <c r="AM53" s="4">
        <f t="shared" si="8"/>
        <v>14.66966643767285</v>
      </c>
      <c r="AN53" s="101">
        <f>SUMIFS($AM$3:$AM53,$D$3:$D53,D53)</f>
        <v>16.906588538196498</v>
      </c>
      <c r="AO53" s="4">
        <f t="shared" si="21"/>
        <v>58.865325726999998</v>
      </c>
      <c r="AP53" s="56">
        <v>630.03162581900006</v>
      </c>
      <c r="AQ53" s="4">
        <f t="shared" si="9"/>
        <v>0.70107858777888554</v>
      </c>
      <c r="AR53" s="4">
        <f>SUMIFS($AP$3:$AP53,$D$3:$D53,D53)</f>
        <v>1730.4355612500001</v>
      </c>
      <c r="AS53" s="4">
        <f t="shared" si="30"/>
        <v>7826.337973382002</v>
      </c>
      <c r="AT53" s="97">
        <f t="shared" si="40"/>
        <v>0.15960923686331419</v>
      </c>
      <c r="AU53" s="97">
        <f t="shared" si="41"/>
        <v>0.12020664918832891</v>
      </c>
      <c r="AV53" s="98">
        <f t="shared" si="52"/>
        <v>0.14354169422891383</v>
      </c>
      <c r="AW53" s="4">
        <v>324.87148293600001</v>
      </c>
      <c r="AX53" s="4">
        <f>SUMIFS($AW$3:$AW53,$D$3:$D53,D53)</f>
        <v>963.4742561490001</v>
      </c>
      <c r="AY53" s="4">
        <f t="shared" si="31"/>
        <v>3980.4044116600003</v>
      </c>
      <c r="AZ53" s="97">
        <f t="shared" si="42"/>
        <v>0.10884805426551436</v>
      </c>
      <c r="BA53" s="97">
        <f t="shared" si="43"/>
        <v>0.10042126119338457</v>
      </c>
      <c r="BB53" s="97">
        <f t="shared" si="58"/>
        <v>0.15513844684428113</v>
      </c>
      <c r="BC53" s="4">
        <v>242.28602268200001</v>
      </c>
      <c r="BD53" s="4">
        <f t="shared" si="22"/>
        <v>82.585460253999997</v>
      </c>
      <c r="BE53" s="4">
        <v>40.511825287999997</v>
      </c>
      <c r="BF53" s="4">
        <v>37.676785350999999</v>
      </c>
      <c r="BG53" s="4">
        <f t="shared" si="10"/>
        <v>5.4186850347349891</v>
      </c>
      <c r="BH53" s="4">
        <f>Datos1[[#This Row],[Intereses]]/Datos1[[#This Row],[PIB nominal (miles de millones de G.)]]*100</f>
        <v>4.1925494504486654E-2</v>
      </c>
      <c r="BI53" s="4">
        <v>76.981805264000002</v>
      </c>
      <c r="BJ53" s="4">
        <v>134.38780029099999</v>
      </c>
      <c r="BK53" s="4">
        <v>15.601926688999999</v>
      </c>
      <c r="BL53" s="56">
        <f t="shared" si="60"/>
        <v>426.27081325600011</v>
      </c>
      <c r="BM53" s="56">
        <f>SUMIFS($BL$3:$BL53,$D$3:$D53,D53)</f>
        <v>741.19509917699997</v>
      </c>
      <c r="BN53" s="56">
        <f t="shared" si="62"/>
        <v>1948.9859565229999</v>
      </c>
      <c r="BO53" s="100">
        <f t="shared" si="44"/>
        <v>1.1097442609474268</v>
      </c>
      <c r="BP53" s="100">
        <f t="shared" si="45"/>
        <v>4.7688333046157494E-2</v>
      </c>
      <c r="BQ53" s="100">
        <f t="shared" si="53"/>
        <v>-6.965256162516642E-4</v>
      </c>
      <c r="BR53" s="2">
        <f t="shared" si="12"/>
        <v>0.47434021963641732</v>
      </c>
      <c r="BS53" s="2">
        <f>+Datos1[[#This Row],[RON acumulado 12 meses]]/Datos1[[#This Row],[PIB nominal (miles de millones de G.)]]*100</f>
        <v>2.1687678300653621</v>
      </c>
      <c r="BT53" s="56">
        <v>88.820084886000004</v>
      </c>
      <c r="BU53" s="56">
        <f>SUMIFS($BT$3:$BT53,$D$3:$D53,D53)</f>
        <v>189.40076860400001</v>
      </c>
      <c r="BV53" s="56">
        <f t="shared" si="32"/>
        <v>1564.489753801</v>
      </c>
      <c r="BW53" s="100">
        <f t="shared" si="46"/>
        <v>-0.45420495459353849</v>
      </c>
      <c r="BX53" s="100">
        <f t="shared" si="47"/>
        <v>-6.9987831969138159E-2</v>
      </c>
      <c r="BY53" s="100">
        <f t="shared" si="54"/>
        <v>3.4187869091400591E-2</v>
      </c>
      <c r="BZ53" s="56">
        <f t="shared" si="13"/>
        <v>12.774127629837331</v>
      </c>
      <c r="CA53" s="56">
        <f>Datos1[[#This Row],[Adquisición Neta de Activos no Financieros]]/Datos1[[#This Row],[PIB nominal (miles de millones de G.)]]*100</f>
        <v>9.8836085565277537E-2</v>
      </c>
      <c r="CB53" s="56">
        <f>+Datos1[[#This Row],[ANANF acumulado por año]]/Datos1[[#This Row],[PIB nominal (miles de millones de G.)]]*100</f>
        <v>0.21075898087578726</v>
      </c>
      <c r="CC53" s="56">
        <f>+Datos1[[#This Row],[ANANF acumulado 12 meses]]/Datos1[[#This Row],[PIB nominal (miles de millones de G.)]]*100</f>
        <v>1.7409130307760874</v>
      </c>
      <c r="CD53" s="4">
        <v>56.10283287</v>
      </c>
      <c r="CE53" s="4">
        <f t="shared" si="14"/>
        <v>8.0687239648177282</v>
      </c>
      <c r="CF53" s="4">
        <f t="shared" si="15"/>
        <v>32.717252016000003</v>
      </c>
      <c r="CG53" s="4">
        <f t="shared" si="16"/>
        <v>4.7054036650196043</v>
      </c>
      <c r="CH53" s="56">
        <f t="shared" si="17"/>
        <v>337.45072837000009</v>
      </c>
      <c r="CI53" s="56">
        <f>SUMIFS($CH$3:$CH53,$D$3:$D53,D53)</f>
        <v>551.79433057300002</v>
      </c>
      <c r="CJ53" s="56">
        <f t="shared" si="63"/>
        <v>384.49620272199985</v>
      </c>
      <c r="CK53" s="56">
        <f>Datos1[[#This Row],[Resultado Fiscal (miles de millones de G.)]]*1000/$F$207</f>
        <v>48.532251218996549</v>
      </c>
      <c r="CL53" s="56">
        <f t="shared" si="33"/>
        <v>55.298343534152764</v>
      </c>
      <c r="CM53" s="100">
        <f t="shared" si="48"/>
        <v>7.5836197243223911</v>
      </c>
      <c r="CN53" s="100">
        <f t="shared" si="49"/>
        <v>9.5256935341977211E-2</v>
      </c>
      <c r="CO53" s="100">
        <f t="shared" si="55"/>
        <v>-0.12129834633583325</v>
      </c>
      <c r="CP53" s="4">
        <f t="shared" si="18"/>
        <v>0.37550413407113975</v>
      </c>
      <c r="CQ53" s="4">
        <f t="shared" si="64"/>
        <v>0.42785479928927478</v>
      </c>
      <c r="CR53" s="73">
        <v>346.25733567999998</v>
      </c>
      <c r="CS53" s="113">
        <f>SUM(Datos1[[#This Row],[FFPP]:[MTESS]])</f>
        <v>0</v>
      </c>
      <c r="CT53" s="113"/>
      <c r="CU53" s="113"/>
      <c r="CV53" s="113"/>
      <c r="CW53" s="113"/>
      <c r="CX53" s="113"/>
      <c r="CY53" s="113"/>
      <c r="CZ53" s="113"/>
    </row>
    <row r="54" spans="1:104">
      <c r="A54">
        <v>52</v>
      </c>
      <c r="B54" s="3">
        <v>39173</v>
      </c>
      <c r="C54" s="14" t="str">
        <f t="shared" si="0"/>
        <v>Abril</v>
      </c>
      <c r="D54" s="14">
        <f t="shared" si="19"/>
        <v>2007</v>
      </c>
      <c r="E54" s="15">
        <f t="shared" si="1"/>
        <v>89866.048799896729</v>
      </c>
      <c r="F54" s="15">
        <f t="shared" si="59"/>
        <v>5032.744607430137</v>
      </c>
      <c r="G54" s="56">
        <v>884.85361824799998</v>
      </c>
      <c r="H54" s="4">
        <f t="shared" si="20"/>
        <v>0.98463616690023736</v>
      </c>
      <c r="I54" s="4">
        <f>SUMIFS($G$3:$G54,$D$3:$D54,D54)</f>
        <v>3356.4842786750005</v>
      </c>
      <c r="J54" s="2">
        <f t="shared" si="27"/>
        <v>9769.4243211810008</v>
      </c>
      <c r="K54" s="95">
        <f t="shared" si="34"/>
        <v>6.7938140733469377E-2</v>
      </c>
      <c r="L54" s="95">
        <f t="shared" si="35"/>
        <v>-6.6231685110532679E-3</v>
      </c>
      <c r="M54" s="95">
        <f t="shared" si="50"/>
        <v>9.279429452962229E-2</v>
      </c>
      <c r="N54" s="4">
        <v>644.95711485499999</v>
      </c>
      <c r="O54" s="4">
        <f t="shared" si="3"/>
        <v>0.71768718383414798</v>
      </c>
      <c r="P54" s="4">
        <f>SUMIFS($N$3:$N54,$D$3:$D54,D54)</f>
        <v>2179.1433272079998</v>
      </c>
      <c r="Q54" s="4">
        <f t="shared" si="61"/>
        <v>6403.4446792730005</v>
      </c>
      <c r="R54" s="97">
        <f t="shared" si="36"/>
        <v>2.1057033243554679E-2</v>
      </c>
      <c r="S54" s="97">
        <f t="shared" si="37"/>
        <v>5.2868782266940473E-2</v>
      </c>
      <c r="T54" s="97">
        <f t="shared" si="51"/>
        <v>8.2739204547930267E-2</v>
      </c>
      <c r="U54" s="4">
        <v>341.59689121400004</v>
      </c>
      <c r="V54" s="4">
        <f t="shared" si="28"/>
        <v>2732.7600628999999</v>
      </c>
      <c r="W54" s="97">
        <f t="shared" si="56"/>
        <v>5.6072872300038767E-2</v>
      </c>
      <c r="X54" s="97">
        <f t="shared" si="38"/>
        <v>-9.5297304383598513E-2</v>
      </c>
      <c r="Y54" s="4">
        <v>303.0208063446666</v>
      </c>
      <c r="Z54" s="4">
        <f t="shared" si="29"/>
        <v>3645.9178053576666</v>
      </c>
      <c r="AA54" s="97">
        <f t="shared" si="57"/>
        <v>0.10870405209613621</v>
      </c>
      <c r="AB54" s="97">
        <f t="shared" si="39"/>
        <v>0.20420974347660548</v>
      </c>
      <c r="AC54" s="4">
        <v>50.157085094000003</v>
      </c>
      <c r="AD54" s="4">
        <f t="shared" si="4"/>
        <v>5.581316388537786E-2</v>
      </c>
      <c r="AE54" s="4">
        <v>31.629476217000004</v>
      </c>
      <c r="AF54" s="4">
        <f t="shared" si="5"/>
        <v>3.519624667979878E-2</v>
      </c>
      <c r="AG54" s="4">
        <v>158.109942082</v>
      </c>
      <c r="AH54" s="4">
        <f t="shared" si="6"/>
        <v>31.416245888689243</v>
      </c>
      <c r="AI54" s="4">
        <v>124.049481746</v>
      </c>
      <c r="AJ54" s="4">
        <f t="shared" si="7"/>
        <v>17.840828617451052</v>
      </c>
      <c r="AK54" s="101">
        <f>SUMIFS($AJ$3:$AJ54,$D$3:$D54,D54)</f>
        <v>73.584025459206089</v>
      </c>
      <c r="AL54" s="4">
        <v>0</v>
      </c>
      <c r="AM54" s="4">
        <f t="shared" si="8"/>
        <v>0</v>
      </c>
      <c r="AN54" s="101">
        <f>SUMIFS($AM$3:$AM54,$D$3:$D54,D54)</f>
        <v>16.906588538196498</v>
      </c>
      <c r="AO54" s="4">
        <f t="shared" si="21"/>
        <v>34.060460336000006</v>
      </c>
      <c r="AP54" s="56">
        <v>607.116089386</v>
      </c>
      <c r="AQ54" s="4">
        <f t="shared" si="9"/>
        <v>0.67557892829788868</v>
      </c>
      <c r="AR54" s="4">
        <f>SUMIFS($AP$3:$AP54,$D$3:$D54,D54)</f>
        <v>2337.551650636</v>
      </c>
      <c r="AS54" s="4">
        <f t="shared" si="30"/>
        <v>7858.1529724010015</v>
      </c>
      <c r="AT54" s="97">
        <f t="shared" si="40"/>
        <v>5.5301475265246758E-2</v>
      </c>
      <c r="AU54" s="97">
        <f t="shared" si="41"/>
        <v>0.10259383077798678</v>
      </c>
      <c r="AV54" s="98">
        <f t="shared" si="52"/>
        <v>0.14193611028055098</v>
      </c>
      <c r="AW54" s="4">
        <v>335.06648263499994</v>
      </c>
      <c r="AX54" s="4">
        <f>SUMIFS($AW$3:$AW54,$D$3:$D54,D54)</f>
        <v>1298.540738784</v>
      </c>
      <c r="AY54" s="4">
        <f t="shared" si="31"/>
        <v>4025.0502495830006</v>
      </c>
      <c r="AZ54" s="97">
        <f t="shared" si="42"/>
        <v>0.15372818267542132</v>
      </c>
      <c r="BA54" s="97">
        <f t="shared" si="43"/>
        <v>0.11369897577042964</v>
      </c>
      <c r="BB54" s="97">
        <f t="shared" si="58"/>
        <v>0.1564755992337481</v>
      </c>
      <c r="BC54" s="4">
        <v>242.86461481500001</v>
      </c>
      <c r="BD54" s="4">
        <f t="shared" si="22"/>
        <v>92.201867819999933</v>
      </c>
      <c r="BE54" s="4">
        <v>43.932428104000003</v>
      </c>
      <c r="BF54" s="4">
        <v>30.952620140000001</v>
      </c>
      <c r="BG54" s="4">
        <f t="shared" si="10"/>
        <v>4.4516138512332821</v>
      </c>
      <c r="BH54" s="4">
        <f>Datos1[[#This Row],[Intereses]]/Datos1[[#This Row],[PIB nominal (miles de millones de G.)]]*100</f>
        <v>3.4443063374157791E-2</v>
      </c>
      <c r="BI54" s="4">
        <v>75.847540413000004</v>
      </c>
      <c r="BJ54" s="4">
        <v>102.304209069</v>
      </c>
      <c r="BK54" s="4">
        <v>19.012809025000003</v>
      </c>
      <c r="BL54" s="56">
        <f t="shared" si="60"/>
        <v>277.73752886199998</v>
      </c>
      <c r="BM54" s="56">
        <f>SUMIFS($BL$3:$BL54,$D$3:$D54,D54)</f>
        <v>1018.932628039</v>
      </c>
      <c r="BN54" s="56">
        <f t="shared" si="62"/>
        <v>1911.2713487799997</v>
      </c>
      <c r="BO54" s="100">
        <f t="shared" si="44"/>
        <v>-0.11955730637584883</v>
      </c>
      <c r="BP54" s="100">
        <f t="shared" si="45"/>
        <v>-3.8880584463377721E-3</v>
      </c>
      <c r="BQ54" s="100">
        <f t="shared" si="53"/>
        <v>-7.148937661935062E-2</v>
      </c>
      <c r="BR54" s="2">
        <f t="shared" si="12"/>
        <v>0.30905723860234874</v>
      </c>
      <c r="BS54" s="2">
        <f>+Datos1[[#This Row],[RON acumulado 12 meses]]/Datos1[[#This Row],[PIB nominal (miles de millones de G.)]]*100</f>
        <v>2.1268002480400541</v>
      </c>
      <c r="BT54" s="56">
        <v>80.073086495999988</v>
      </c>
      <c r="BU54" s="56">
        <f>SUMIFS($BT$3:$BT54,$D$3:$D54,D54)</f>
        <v>269.47385509999998</v>
      </c>
      <c r="BV54" s="56">
        <f t="shared" si="32"/>
        <v>1565.8737885620003</v>
      </c>
      <c r="BW54" s="100">
        <f t="shared" si="46"/>
        <v>1.75886572589663E-2</v>
      </c>
      <c r="BX54" s="100">
        <f t="shared" si="47"/>
        <v>-4.5580257572939042E-2</v>
      </c>
      <c r="BY54" s="100">
        <f t="shared" si="54"/>
        <v>2.7571617258441039E-2</v>
      </c>
      <c r="BZ54" s="56">
        <f t="shared" si="13"/>
        <v>11.516132054227905</v>
      </c>
      <c r="CA54" s="56">
        <f>Datos1[[#This Row],[Adquisición Neta de Activos no Financieros]]/Datos1[[#This Row],[PIB nominal (miles de millones de G.)]]*100</f>
        <v>8.9102711830913395E-2</v>
      </c>
      <c r="CB54" s="56">
        <f>+Datos1[[#This Row],[ANANF acumulado por año]]/Datos1[[#This Row],[PIB nominal (miles de millones de G.)]]*100</f>
        <v>0.29986169270670066</v>
      </c>
      <c r="CC54" s="56">
        <f>+Datos1[[#This Row],[ANANF acumulado 12 meses]]/Datos1[[#This Row],[PIB nominal (miles de millones de G.)]]*100</f>
        <v>1.7424531393927265</v>
      </c>
      <c r="CD54" s="4">
        <v>35.881546704999998</v>
      </c>
      <c r="CE54" s="4">
        <f t="shared" si="14"/>
        <v>5.1604933473542092</v>
      </c>
      <c r="CF54" s="4">
        <f t="shared" si="15"/>
        <v>44.19153979099999</v>
      </c>
      <c r="CG54" s="4">
        <f t="shared" si="16"/>
        <v>6.3556387068736946</v>
      </c>
      <c r="CH54" s="56">
        <f t="shared" si="17"/>
        <v>197.664442366</v>
      </c>
      <c r="CI54" s="56">
        <f>SUMIFS($CH$3:$CH54,$D$3:$D54,D54)</f>
        <v>749.45877293900003</v>
      </c>
      <c r="CJ54" s="56">
        <f t="shared" si="63"/>
        <v>345.39756021799991</v>
      </c>
      <c r="CK54" s="56">
        <f>Datos1[[#This Row],[Resultado Fiscal (miles de millones de G.)]]*1000/$F$207</f>
        <v>28.428151334292448</v>
      </c>
      <c r="CL54" s="56">
        <f t="shared" si="33"/>
        <v>49.675166635138055</v>
      </c>
      <c r="CM54" s="100">
        <f t="shared" si="48"/>
        <v>-0.16513825424038553</v>
      </c>
      <c r="CN54" s="100">
        <f t="shared" si="49"/>
        <v>1.2007210616853392E-2</v>
      </c>
      <c r="CO54" s="100">
        <f t="shared" si="55"/>
        <v>-0.35387591966761844</v>
      </c>
      <c r="CP54" s="4">
        <f t="shared" si="18"/>
        <v>0.21995452677143534</v>
      </c>
      <c r="CQ54" s="4">
        <f t="shared" si="64"/>
        <v>0.38434710864732802</v>
      </c>
      <c r="CR54" s="73">
        <v>349.515300712</v>
      </c>
      <c r="CS54" s="113">
        <f>SUM(Datos1[[#This Row],[FFPP]:[MTESS]])</f>
        <v>0</v>
      </c>
      <c r="CT54" s="113"/>
      <c r="CU54" s="113"/>
      <c r="CV54" s="113"/>
      <c r="CW54" s="113"/>
      <c r="CX54" s="113"/>
      <c r="CY54" s="113"/>
      <c r="CZ54" s="113"/>
    </row>
    <row r="55" spans="1:104">
      <c r="A55">
        <v>53</v>
      </c>
      <c r="B55" s="3">
        <v>39203</v>
      </c>
      <c r="C55" s="14" t="str">
        <f t="shared" si="0"/>
        <v>Mayo</v>
      </c>
      <c r="D55" s="14">
        <f t="shared" si="19"/>
        <v>2007</v>
      </c>
      <c r="E55" s="15">
        <f t="shared" si="1"/>
        <v>89866.048799896729</v>
      </c>
      <c r="F55" s="15">
        <f t="shared" si="59"/>
        <v>5032.744607430137</v>
      </c>
      <c r="G55" s="56">
        <v>1061.3230152830001</v>
      </c>
      <c r="H55" s="4">
        <f t="shared" si="20"/>
        <v>1.1810055404196427</v>
      </c>
      <c r="I55" s="4">
        <f>SUMIFS($G$3:$G55,$D$3:$D55,D55)</f>
        <v>4417.8072939580006</v>
      </c>
      <c r="J55" s="2">
        <f t="shared" si="27"/>
        <v>9939.8293850249993</v>
      </c>
      <c r="K55" s="95">
        <f t="shared" si="34"/>
        <v>9.5176897534837046E-2</v>
      </c>
      <c r="L55" s="95">
        <f t="shared" si="35"/>
        <v>0.19126908776365315</v>
      </c>
      <c r="M55" s="95">
        <f t="shared" si="50"/>
        <v>8.6408395102564706E-2</v>
      </c>
      <c r="N55" s="4">
        <v>661.87865591600007</v>
      </c>
      <c r="O55" s="4">
        <f t="shared" si="3"/>
        <v>0.73651692130116297</v>
      </c>
      <c r="P55" s="4">
        <f>SUMIFS($N$3:$N55,$D$3:$D55,D55)</f>
        <v>2841.0219831240001</v>
      </c>
      <c r="Q55" s="4">
        <f t="shared" si="61"/>
        <v>6481.2892135229995</v>
      </c>
      <c r="R55" s="97">
        <f t="shared" si="36"/>
        <v>0.133287647694184</v>
      </c>
      <c r="S55" s="97">
        <f t="shared" si="37"/>
        <v>7.0567243942201596E-2</v>
      </c>
      <c r="T55" s="97">
        <f t="shared" si="51"/>
        <v>8.0631163425235908E-2</v>
      </c>
      <c r="U55" s="4">
        <v>372.71064531899987</v>
      </c>
      <c r="V55" s="4">
        <f t="shared" si="28"/>
        <v>2817.3412251489999</v>
      </c>
      <c r="W55" s="97">
        <f t="shared" si="56"/>
        <v>7.7572063057779861E-2</v>
      </c>
      <c r="X55" s="97">
        <f t="shared" si="38"/>
        <v>0.29355261165151658</v>
      </c>
      <c r="Y55" s="4">
        <v>315.34562368166655</v>
      </c>
      <c r="Z55" s="4">
        <f t="shared" si="29"/>
        <v>3676.7568129783331</v>
      </c>
      <c r="AA55" s="97">
        <f t="shared" si="57"/>
        <v>0.10684620015413615</v>
      </c>
      <c r="AB55" s="97">
        <f t="shared" si="39"/>
        <v>0.10839469411162828</v>
      </c>
      <c r="AC55" s="4">
        <v>66.450070108999995</v>
      </c>
      <c r="AD55" s="4">
        <f t="shared" si="4"/>
        <v>7.3943464741576967E-2</v>
      </c>
      <c r="AE55" s="4">
        <v>12.947244683999998</v>
      </c>
      <c r="AF55" s="4">
        <f t="shared" si="5"/>
        <v>1.4407270439617767E-2</v>
      </c>
      <c r="AG55" s="4">
        <v>320.04704457400004</v>
      </c>
      <c r="AH55" s="4">
        <f t="shared" si="6"/>
        <v>63.59294371931685</v>
      </c>
      <c r="AI55" s="4">
        <v>137.93704857</v>
      </c>
      <c r="AJ55" s="4">
        <f t="shared" si="7"/>
        <v>19.838142077637048</v>
      </c>
      <c r="AK55" s="101">
        <f>SUMIFS($AJ$3:$AJ55,$D$3:$D55,D55)</f>
        <v>93.422167536843133</v>
      </c>
      <c r="AL55" s="4">
        <v>143.10098967799999</v>
      </c>
      <c r="AM55" s="4">
        <f t="shared" si="8"/>
        <v>20.580821426246327</v>
      </c>
      <c r="AN55" s="101">
        <f>SUMIFS($AM$3:$AM55,$D$3:$D55,D55)</f>
        <v>37.487409964442826</v>
      </c>
      <c r="AO55" s="4">
        <f t="shared" si="21"/>
        <v>39.009006326000048</v>
      </c>
      <c r="AP55" s="56">
        <v>653.29624466600001</v>
      </c>
      <c r="AQ55" s="4">
        <f t="shared" si="9"/>
        <v>0.72696669475330344</v>
      </c>
      <c r="AR55" s="4">
        <f>SUMIFS($AP$3:$AP55,$D$3:$D55,D55)</f>
        <v>2990.8478953019999</v>
      </c>
      <c r="AS55" s="4">
        <f t="shared" si="30"/>
        <v>7897.2713829350014</v>
      </c>
      <c r="AT55" s="97">
        <f t="shared" si="40"/>
        <v>6.3692318999569286E-2</v>
      </c>
      <c r="AU55" s="97">
        <f t="shared" si="41"/>
        <v>9.385554460695511E-2</v>
      </c>
      <c r="AV55" s="98">
        <f t="shared" si="52"/>
        <v>0.13215685703383384</v>
      </c>
      <c r="AW55" s="4">
        <v>329.97571425000001</v>
      </c>
      <c r="AX55" s="4">
        <f>SUMIFS($AW$3:$AW55,$D$3:$D55,D55)</f>
        <v>1628.5164530340001</v>
      </c>
      <c r="AY55" s="4">
        <f t="shared" si="31"/>
        <v>4055.3102343050004</v>
      </c>
      <c r="AZ55" s="97">
        <f t="shared" si="42"/>
        <v>0.1009622843941298</v>
      </c>
      <c r="BA55" s="97">
        <f t="shared" si="43"/>
        <v>0.11109447195672839</v>
      </c>
      <c r="BB55" s="97">
        <f t="shared" si="58"/>
        <v>0.14889531047581728</v>
      </c>
      <c r="BC55" s="4">
        <v>244.911706643</v>
      </c>
      <c r="BD55" s="4">
        <f t="shared" si="22"/>
        <v>85.064007607000008</v>
      </c>
      <c r="BE55" s="4">
        <v>53.017305477000001</v>
      </c>
      <c r="BF55" s="4">
        <v>37.656605636999998</v>
      </c>
      <c r="BG55" s="4">
        <f t="shared" si="10"/>
        <v>5.4157827830370699</v>
      </c>
      <c r="BH55" s="4">
        <f>Datos1[[#This Row],[Intereses]]/Datos1[[#This Row],[PIB nominal (miles de millones de G.)]]*100</f>
        <v>4.1903039178732948E-2</v>
      </c>
      <c r="BI55" s="4">
        <v>96.035936640000003</v>
      </c>
      <c r="BJ55" s="4">
        <v>124.13737358</v>
      </c>
      <c r="BK55" s="4">
        <v>12.473309082000002</v>
      </c>
      <c r="BL55" s="56">
        <f t="shared" si="60"/>
        <v>408.02677061700012</v>
      </c>
      <c r="BM55" s="56">
        <f>SUMIFS($BL$3:$BL55,$D$3:$D55,D55)</f>
        <v>1426.9593986560001</v>
      </c>
      <c r="BN55" s="56">
        <f t="shared" si="62"/>
        <v>2042.5580020900002</v>
      </c>
      <c r="BO55" s="100">
        <f t="shared" si="44"/>
        <v>0.47440412538511012</v>
      </c>
      <c r="BP55" s="100">
        <f t="shared" si="45"/>
        <v>9.7956782439197809E-2</v>
      </c>
      <c r="BQ55" s="100">
        <f t="shared" si="53"/>
        <v>-6.0389673579222203E-2</v>
      </c>
      <c r="BR55" s="2">
        <f t="shared" si="12"/>
        <v>0.45403884566633912</v>
      </c>
      <c r="BS55" s="2">
        <f>+Datos1[[#This Row],[RON acumulado 12 meses]]/Datos1[[#This Row],[PIB nominal (miles de millones de G.)]]*100</f>
        <v>2.2728917420617112</v>
      </c>
      <c r="BT55" s="56">
        <v>141.924057713</v>
      </c>
      <c r="BU55" s="56">
        <f>SUMIFS($BT$3:$BT55,$D$3:$D55,D55)</f>
        <v>411.39791281299995</v>
      </c>
      <c r="BV55" s="56">
        <f t="shared" si="32"/>
        <v>1592.692321648</v>
      </c>
      <c r="BW55" s="100">
        <f t="shared" si="46"/>
        <v>0.23299084186363417</v>
      </c>
      <c r="BX55" s="100">
        <f t="shared" si="47"/>
        <v>3.5097013235737329E-2</v>
      </c>
      <c r="BY55" s="100">
        <f t="shared" si="54"/>
        <v>2.9583584513937167E-2</v>
      </c>
      <c r="BZ55" s="56">
        <f t="shared" si="13"/>
        <v>20.411554765987653</v>
      </c>
      <c r="CA55" s="56">
        <f>Datos1[[#This Row],[Adquisición Neta de Activos no Financieros]]/Datos1[[#This Row],[PIB nominal (miles de millones de G.)]]*100</f>
        <v>0.15792844974081369</v>
      </c>
      <c r="CB55" s="56">
        <f>+Datos1[[#This Row],[ANANF acumulado por año]]/Datos1[[#This Row],[PIB nominal (miles de millones de G.)]]*100</f>
        <v>0.45779014244751431</v>
      </c>
      <c r="CC55" s="56">
        <f>+Datos1[[#This Row],[ANANF acumulado 12 meses]]/Datos1[[#This Row],[PIB nominal (miles de millones de G.)]]*100</f>
        <v>1.7722959259001383</v>
      </c>
      <c r="CD55" s="4">
        <v>85.530482769000017</v>
      </c>
      <c r="CE55" s="4">
        <f t="shared" si="14"/>
        <v>12.301016200728977</v>
      </c>
      <c r="CF55" s="4">
        <f t="shared" si="15"/>
        <v>56.39357494399998</v>
      </c>
      <c r="CG55" s="4">
        <f t="shared" si="16"/>
        <v>8.1105385652586772</v>
      </c>
      <c r="CH55" s="56">
        <f t="shared" si="17"/>
        <v>266.1027129040001</v>
      </c>
      <c r="CI55" s="56">
        <f>SUMIFS($CH$3:$CH55,$D$3:$D55,D55)</f>
        <v>1015.5614858430001</v>
      </c>
      <c r="CJ55" s="56">
        <f t="shared" si="63"/>
        <v>449.86568044200015</v>
      </c>
      <c r="CK55" s="56">
        <f>Datos1[[#This Row],[Resultado Fiscal (miles de millones de G.)]]*1000/$F$207</f>
        <v>38.270961141779452</v>
      </c>
      <c r="CL55" s="56">
        <f t="shared" si="33"/>
        <v>64.699798763145765</v>
      </c>
      <c r="CM55" s="100">
        <f t="shared" si="48"/>
        <v>0.64632278580874947</v>
      </c>
      <c r="CN55" s="100">
        <f t="shared" si="49"/>
        <v>0.12564853215733796</v>
      </c>
      <c r="CO55" s="100">
        <f t="shared" si="55"/>
        <v>-0.2824039494106958</v>
      </c>
      <c r="CP55" s="4">
        <f t="shared" si="18"/>
        <v>0.2961103959255254</v>
      </c>
      <c r="CQ55" s="4">
        <f t="shared" si="64"/>
        <v>0.50059581616157267</v>
      </c>
      <c r="CR55" s="73">
        <v>350.144159188</v>
      </c>
      <c r="CS55" s="113">
        <f>SUM(Datos1[[#This Row],[FFPP]:[MTESS]])</f>
        <v>0</v>
      </c>
      <c r="CT55" s="113"/>
      <c r="CU55" s="113"/>
      <c r="CV55" s="113"/>
      <c r="CW55" s="113"/>
      <c r="CX55" s="113"/>
      <c r="CY55" s="113"/>
      <c r="CZ55" s="113"/>
    </row>
    <row r="56" spans="1:104">
      <c r="A56">
        <v>54</v>
      </c>
      <c r="B56" s="3">
        <v>39234</v>
      </c>
      <c r="C56" s="14" t="str">
        <f t="shared" si="0"/>
        <v>Junio</v>
      </c>
      <c r="D56" s="14">
        <f t="shared" si="19"/>
        <v>2007</v>
      </c>
      <c r="E56" s="15">
        <f t="shared" si="1"/>
        <v>89866.048799896729</v>
      </c>
      <c r="F56" s="15">
        <f t="shared" si="59"/>
        <v>5032.744607430137</v>
      </c>
      <c r="G56" s="56">
        <v>774.75072046299988</v>
      </c>
      <c r="H56" s="4">
        <f t="shared" si="20"/>
        <v>0.86211726320373194</v>
      </c>
      <c r="I56" s="4">
        <f>SUMIFS($G$3:$G56,$D$3:$D56,D56)</f>
        <v>5192.5580144210007</v>
      </c>
      <c r="J56" s="2">
        <f t="shared" si="27"/>
        <v>9980.4593012250007</v>
      </c>
      <c r="K56" s="95">
        <f t="shared" si="34"/>
        <v>8.9044043756832725E-2</v>
      </c>
      <c r="L56" s="95">
        <f t="shared" si="35"/>
        <v>5.5345000392393207E-2</v>
      </c>
      <c r="M56" s="95">
        <f t="shared" si="50"/>
        <v>8.56782377055747E-2</v>
      </c>
      <c r="N56" s="4">
        <v>546.80658852699992</v>
      </c>
      <c r="O56" s="4">
        <f t="shared" si="3"/>
        <v>0.6084684881879755</v>
      </c>
      <c r="P56" s="4">
        <f>SUMIFS($N$3:$N56,$D$3:$D56,D56)</f>
        <v>3387.8285716509999</v>
      </c>
      <c r="Q56" s="4">
        <f t="shared" si="61"/>
        <v>6554.7707206019995</v>
      </c>
      <c r="R56" s="97">
        <f t="shared" si="36"/>
        <v>0.15524532706824812</v>
      </c>
      <c r="S56" s="97">
        <f t="shared" si="37"/>
        <v>8.3384400470144948E-2</v>
      </c>
      <c r="T56" s="97">
        <f t="shared" si="51"/>
        <v>8.1855760618064766E-2</v>
      </c>
      <c r="U56" s="4">
        <v>262.74915047600001</v>
      </c>
      <c r="V56" s="4">
        <f t="shared" si="28"/>
        <v>2891.8209815270002</v>
      </c>
      <c r="W56" s="97">
        <f t="shared" si="56"/>
        <v>9.7998630546775489E-2</v>
      </c>
      <c r="X56" s="97">
        <f t="shared" si="38"/>
        <v>0.39560204001735411</v>
      </c>
      <c r="Y56" s="4">
        <v>288.36919978766656</v>
      </c>
      <c r="Z56" s="4">
        <f t="shared" si="29"/>
        <v>3689.6954706289994</v>
      </c>
      <c r="AA56" s="97">
        <f t="shared" si="57"/>
        <v>9.8248406486405981E-2</v>
      </c>
      <c r="AB56" s="97">
        <f t="shared" si="39"/>
        <v>4.6976118008840162E-2</v>
      </c>
      <c r="AC56" s="4">
        <v>16.591464238</v>
      </c>
      <c r="AD56" s="4">
        <f t="shared" si="4"/>
        <v>1.8462438773672964E-2</v>
      </c>
      <c r="AE56" s="4">
        <v>42.615871240999994</v>
      </c>
      <c r="AF56" s="4">
        <f t="shared" si="5"/>
        <v>4.7421547748129067E-2</v>
      </c>
      <c r="AG56" s="4">
        <v>168.73679645699997</v>
      </c>
      <c r="AH56" s="4">
        <f t="shared" si="6"/>
        <v>33.527788437323821</v>
      </c>
      <c r="AI56" s="4">
        <v>135.69872530399999</v>
      </c>
      <c r="AJ56" s="4">
        <f t="shared" si="7"/>
        <v>19.516225845363493</v>
      </c>
      <c r="AK56" s="101">
        <f>SUMIFS($AJ$3:$AJ56,$D$3:$D56,D56)</f>
        <v>112.93839338220663</v>
      </c>
      <c r="AL56" s="4">
        <v>0</v>
      </c>
      <c r="AM56" s="4">
        <f t="shared" si="8"/>
        <v>0</v>
      </c>
      <c r="AN56" s="101">
        <f>SUMIFS($AM$3:$AM56,$D$3:$D56,D56)</f>
        <v>37.487409964442826</v>
      </c>
      <c r="AO56" s="4">
        <f t="shared" si="21"/>
        <v>33.038071152999976</v>
      </c>
      <c r="AP56" s="56">
        <v>632.41006280599993</v>
      </c>
      <c r="AQ56" s="4">
        <f t="shared" si="9"/>
        <v>0.70372523467030035</v>
      </c>
      <c r="AR56" s="4">
        <f>SUMIFS($AP$3:$AP56,$D$3:$D56,D56)</f>
        <v>3623.2579581079999</v>
      </c>
      <c r="AS56" s="4">
        <f t="shared" si="30"/>
        <v>7898.8843612380015</v>
      </c>
      <c r="AT56" s="97">
        <f t="shared" si="40"/>
        <v>2.5570478092347138E-3</v>
      </c>
      <c r="AU56" s="97">
        <f t="shared" si="41"/>
        <v>7.6741001847319579E-2</v>
      </c>
      <c r="AV56" s="98">
        <f t="shared" si="52"/>
        <v>0.11471084997448577</v>
      </c>
      <c r="AW56" s="4">
        <v>335.63048746799996</v>
      </c>
      <c r="AX56" s="4">
        <f>SUMIFS($AW$3:$AW56,$D$3:$D56,D56)</f>
        <v>1964.146940502</v>
      </c>
      <c r="AY56" s="4">
        <f t="shared" si="31"/>
        <v>4094.6493035820004</v>
      </c>
      <c r="AZ56" s="97">
        <f t="shared" si="42"/>
        <v>0.1327715447081923</v>
      </c>
      <c r="BA56" s="97">
        <f t="shared" si="43"/>
        <v>0.1147396536730183</v>
      </c>
      <c r="BB56" s="97">
        <f t="shared" si="58"/>
        <v>0.14550177408463272</v>
      </c>
      <c r="BC56" s="4">
        <v>248.32157238799999</v>
      </c>
      <c r="BD56" s="4">
        <f t="shared" si="22"/>
        <v>87.308915079999963</v>
      </c>
      <c r="BE56" s="4">
        <v>55.157018816000004</v>
      </c>
      <c r="BF56" s="4">
        <v>20.425693170999999</v>
      </c>
      <c r="BG56" s="4">
        <f t="shared" si="10"/>
        <v>2.9376284860472768</v>
      </c>
      <c r="BH56" s="4">
        <f>Datos1[[#This Row],[Intereses]]/Datos1[[#This Row],[PIB nominal (miles de millones de G.)]]*100</f>
        <v>2.2729043330347767E-2</v>
      </c>
      <c r="BI56" s="4">
        <v>92.225887829000001</v>
      </c>
      <c r="BJ56" s="4">
        <v>112.5461081</v>
      </c>
      <c r="BK56" s="4">
        <v>16.424867421999998</v>
      </c>
      <c r="BL56" s="56">
        <f t="shared" si="60"/>
        <v>142.34065765699995</v>
      </c>
      <c r="BM56" s="56">
        <f>SUMIFS($BL$3:$BL56,$D$3:$D56,D56)</f>
        <v>1569.3000563129999</v>
      </c>
      <c r="BN56" s="56">
        <f t="shared" si="62"/>
        <v>2081.5749399870001</v>
      </c>
      <c r="BO56" s="100">
        <f t="shared" si="44"/>
        <v>0.37761840154059523</v>
      </c>
      <c r="BP56" s="100">
        <f t="shared" si="45"/>
        <v>0.11855280705433491</v>
      </c>
      <c r="BQ56" s="100">
        <f t="shared" si="53"/>
        <v>-1.1970677808494812E-2</v>
      </c>
      <c r="BR56" s="2">
        <f t="shared" si="12"/>
        <v>0.15839202853343157</v>
      </c>
      <c r="BS56" s="2">
        <f>+Datos1[[#This Row],[RON acumulado 12 meses]]/Datos1[[#This Row],[PIB nominal (miles de millones de G.)]]*100</f>
        <v>2.3163085144891697</v>
      </c>
      <c r="BT56" s="56">
        <v>88.465620295999997</v>
      </c>
      <c r="BU56" s="56">
        <f>SUMIFS($BT$3:$BT56,$D$3:$D56,D56)</f>
        <v>499.86353310899995</v>
      </c>
      <c r="BV56" s="56">
        <f t="shared" si="32"/>
        <v>1531.678505888</v>
      </c>
      <c r="BW56" s="100">
        <f t="shared" si="46"/>
        <v>-0.40817531407559093</v>
      </c>
      <c r="BX56" s="100">
        <f t="shared" si="47"/>
        <v>-8.6052547241739719E-2</v>
      </c>
      <c r="BY56" s="100">
        <f t="shared" si="54"/>
        <v>-4.1887415484820445E-2</v>
      </c>
      <c r="BZ56" s="56">
        <f t="shared" si="13"/>
        <v>12.723148440628837</v>
      </c>
      <c r="CA56" s="56">
        <f>Datos1[[#This Row],[Adquisición Neta de Activos no Financieros]]/Datos1[[#This Row],[PIB nominal (miles de millones de G.)]]*100</f>
        <v>9.8441648962429587E-2</v>
      </c>
      <c r="CB56" s="56">
        <f>+Datos1[[#This Row],[ANANF acumulado por año]]/Datos1[[#This Row],[PIB nominal (miles de millones de G.)]]*100</f>
        <v>0.55623179140994394</v>
      </c>
      <c r="CC56" s="56">
        <f>+Datos1[[#This Row],[ANANF acumulado 12 meses]]/Datos1[[#This Row],[PIB nominal (miles de millones de G.)]]*100</f>
        <v>1.7044017472032886</v>
      </c>
      <c r="CD56" s="4">
        <v>41.610549323000015</v>
      </c>
      <c r="CE56" s="4">
        <f t="shared" si="14"/>
        <v>5.9844399887916087</v>
      </c>
      <c r="CF56" s="4">
        <f t="shared" si="15"/>
        <v>46.855070972999982</v>
      </c>
      <c r="CG56" s="4">
        <f t="shared" si="16"/>
        <v>6.738708451837228</v>
      </c>
      <c r="CH56" s="56">
        <f t="shared" si="17"/>
        <v>53.875037360999954</v>
      </c>
      <c r="CI56" s="56">
        <f>SUMIFS($CH$3:$CH56,$D$3:$D56,D56)</f>
        <v>1069.436523204</v>
      </c>
      <c r="CJ56" s="56">
        <f t="shared" si="63"/>
        <v>549.89643409899986</v>
      </c>
      <c r="CK56" s="56">
        <f>Datos1[[#This Row],[Resultado Fiscal (miles de millones de G.)]]*1000/$F$207</f>
        <v>7.7483218372846263</v>
      </c>
      <c r="CL56" s="56">
        <f t="shared" si="33"/>
        <v>79.086247681353697</v>
      </c>
      <c r="CM56" s="100">
        <f t="shared" si="48"/>
        <v>-2.1672451796760264</v>
      </c>
      <c r="CN56" s="100">
        <f t="shared" si="49"/>
        <v>0.24927531420477878</v>
      </c>
      <c r="CO56" s="100">
        <f t="shared" si="55"/>
        <v>8.2146871818395084E-2</v>
      </c>
      <c r="CP56" s="4">
        <f t="shared" si="18"/>
        <v>5.9950379571001973E-2</v>
      </c>
      <c r="CQ56" s="4">
        <f t="shared" si="64"/>
        <v>0.61190676728588045</v>
      </c>
      <c r="CR56" s="73">
        <v>352.84853359800002</v>
      </c>
      <c r="CS56" s="113">
        <f>SUM(Datos1[[#This Row],[FFPP]:[MTESS]])</f>
        <v>0</v>
      </c>
      <c r="CT56" s="113"/>
      <c r="CU56" s="113"/>
      <c r="CV56" s="113"/>
      <c r="CW56" s="113"/>
      <c r="CX56" s="113"/>
      <c r="CY56" s="113"/>
      <c r="CZ56" s="113"/>
    </row>
    <row r="57" spans="1:104">
      <c r="A57">
        <v>55</v>
      </c>
      <c r="B57" s="3">
        <v>39264</v>
      </c>
      <c r="C57" s="14" t="str">
        <f t="shared" si="0"/>
        <v>Julio</v>
      </c>
      <c r="D57" s="14">
        <f t="shared" si="19"/>
        <v>2007</v>
      </c>
      <c r="E57" s="15">
        <f t="shared" si="1"/>
        <v>89866.048799896729</v>
      </c>
      <c r="F57" s="15">
        <f t="shared" si="59"/>
        <v>5032.744607430137</v>
      </c>
      <c r="G57" s="56">
        <v>901.46919761300001</v>
      </c>
      <c r="H57" s="4">
        <f t="shared" si="20"/>
        <v>1.0031254401985414</v>
      </c>
      <c r="I57" s="4">
        <f>SUMIFS($G$3:$G57,$D$3:$D57,D57)</f>
        <v>6094.0272120340005</v>
      </c>
      <c r="J57" s="2">
        <f t="shared" si="27"/>
        <v>10120.506179218</v>
      </c>
      <c r="K57" s="95">
        <f t="shared" si="34"/>
        <v>0.10210993008203562</v>
      </c>
      <c r="L57" s="95">
        <f t="shared" si="35"/>
        <v>0.18392799158145601</v>
      </c>
      <c r="M57" s="95">
        <f t="shared" si="50"/>
        <v>9.4434210885608216E-2</v>
      </c>
      <c r="N57" s="4">
        <v>634.25544896999997</v>
      </c>
      <c r="O57" s="4">
        <f t="shared" si="3"/>
        <v>0.70577872003951825</v>
      </c>
      <c r="P57" s="4">
        <f>SUMIFS($N$3:$N57,$D$3:$D57,D57)</f>
        <v>4022.084020621</v>
      </c>
      <c r="Q57" s="4">
        <f t="shared" si="61"/>
        <v>6634.5312426569999</v>
      </c>
      <c r="R57" s="97">
        <f t="shared" si="36"/>
        <v>0.14384355597039855</v>
      </c>
      <c r="S57" s="97">
        <f t="shared" si="37"/>
        <v>9.2490368726775962E-2</v>
      </c>
      <c r="T57" s="97">
        <f t="shared" si="51"/>
        <v>8.9215576291861165E-2</v>
      </c>
      <c r="U57" s="4">
        <v>308.29291451199998</v>
      </c>
      <c r="V57" s="4">
        <f t="shared" si="28"/>
        <v>2948.2804605210004</v>
      </c>
      <c r="W57" s="97">
        <f t="shared" si="56"/>
        <v>0.12477011595340071</v>
      </c>
      <c r="X57" s="97">
        <f t="shared" si="38"/>
        <v>0.22419373693515965</v>
      </c>
      <c r="Y57" s="4">
        <v>329.03559347966655</v>
      </c>
      <c r="Z57" s="4">
        <f t="shared" si="29"/>
        <v>3719.1421951706661</v>
      </c>
      <c r="AA57" s="97">
        <f t="shared" si="57"/>
        <v>9.1131100621579808E-2</v>
      </c>
      <c r="AB57" s="97">
        <f t="shared" si="39"/>
        <v>9.8290449328277685E-2</v>
      </c>
      <c r="AC57" s="4">
        <v>54.013137337000003</v>
      </c>
      <c r="AD57" s="4">
        <f t="shared" si="4"/>
        <v>6.0104052707680718E-2</v>
      </c>
      <c r="AE57" s="4">
        <v>21.926523348000003</v>
      </c>
      <c r="AF57" s="4">
        <f t="shared" si="5"/>
        <v>2.4399118066071247E-2</v>
      </c>
      <c r="AG57" s="4">
        <v>191.274087958</v>
      </c>
      <c r="AH57" s="4">
        <f t="shared" si="6"/>
        <v>38.005919806781137</v>
      </c>
      <c r="AI57" s="4">
        <v>126.714051157</v>
      </c>
      <c r="AJ57" s="4">
        <f t="shared" si="7"/>
        <v>18.224047680778465</v>
      </c>
      <c r="AK57" s="101">
        <f>SUMIFS($AJ$3:$AJ57,$D$3:$D57,D57)</f>
        <v>131.1624410629851</v>
      </c>
      <c r="AL57" s="4">
        <v>0</v>
      </c>
      <c r="AM57" s="4">
        <f t="shared" si="8"/>
        <v>0</v>
      </c>
      <c r="AN57" s="101">
        <f>SUMIFS($AM$3:$AM57,$D$3:$D57,D57)</f>
        <v>37.487409964442826</v>
      </c>
      <c r="AO57" s="4">
        <f t="shared" si="21"/>
        <v>64.560036800999995</v>
      </c>
      <c r="AP57" s="56">
        <v>734.98419702899992</v>
      </c>
      <c r="AQ57" s="4">
        <f t="shared" si="9"/>
        <v>0.81786637650618998</v>
      </c>
      <c r="AR57" s="4">
        <f>SUMIFS($AP$3:$AP57,$D$3:$D57,D57)</f>
        <v>4358.2421551369998</v>
      </c>
      <c r="AS57" s="4">
        <f t="shared" si="30"/>
        <v>7995.707967532001</v>
      </c>
      <c r="AT57" s="97">
        <f t="shared" si="40"/>
        <v>0.15172294826680477</v>
      </c>
      <c r="AU57" s="97">
        <f t="shared" si="41"/>
        <v>8.8694119965628593E-2</v>
      </c>
      <c r="AV57" s="98">
        <f t="shared" si="52"/>
        <v>0.12355912486932552</v>
      </c>
      <c r="AW57" s="4">
        <v>334.4819829839999</v>
      </c>
      <c r="AX57" s="4">
        <f>SUMIFS($AW$3:$AW57,$D$3:$D57,D57)</f>
        <v>2298.6289234860001</v>
      </c>
      <c r="AY57" s="4">
        <f t="shared" si="31"/>
        <v>4129.7221953380003</v>
      </c>
      <c r="AZ57" s="97">
        <f t="shared" si="42"/>
        <v>0.11714037009414624</v>
      </c>
      <c r="BA57" s="97">
        <f t="shared" si="43"/>
        <v>0.11508834910436527</v>
      </c>
      <c r="BB57" s="97">
        <f t="shared" si="58"/>
        <v>0.14145331908088155</v>
      </c>
      <c r="BC57" s="4">
        <v>251.12302059999999</v>
      </c>
      <c r="BD57" s="4">
        <f t="shared" si="22"/>
        <v>83.358962383999909</v>
      </c>
      <c r="BE57" s="4">
        <v>61.331361361000006</v>
      </c>
      <c r="BF57" s="4">
        <v>99.273361085000005</v>
      </c>
      <c r="BG57" s="4">
        <f t="shared" si="10"/>
        <v>14.277520522192182</v>
      </c>
      <c r="BH57" s="4">
        <f>Datos1[[#This Row],[Intereses]]/Datos1[[#This Row],[PIB nominal (miles de millones de G.)]]*100</f>
        <v>0.11046814944100901</v>
      </c>
      <c r="BI57" s="4">
        <v>108.953574194</v>
      </c>
      <c r="BJ57" s="4">
        <v>123.26277819999999</v>
      </c>
      <c r="BK57" s="4">
        <v>7.681139205</v>
      </c>
      <c r="BL57" s="56">
        <f t="shared" si="60"/>
        <v>166.48500058400009</v>
      </c>
      <c r="BM57" s="56">
        <f>SUMIFS($BL$3:$BL57,$D$3:$D57,D57)</f>
        <v>1735.785056897</v>
      </c>
      <c r="BN57" s="56">
        <f t="shared" si="62"/>
        <v>2124.7982116860003</v>
      </c>
      <c r="BO57" s="100">
        <f t="shared" si="44"/>
        <v>0.35066254619328152</v>
      </c>
      <c r="BP57" s="100">
        <f t="shared" si="45"/>
        <v>0.1372984403341766</v>
      </c>
      <c r="BQ57" s="100">
        <f t="shared" si="53"/>
        <v>-2.834915470546262E-3</v>
      </c>
      <c r="BR57" s="2">
        <f t="shared" si="12"/>
        <v>0.18525906369235121</v>
      </c>
      <c r="BS57" s="2">
        <f>+Datos1[[#This Row],[RON acumulado 12 meses]]/Datos1[[#This Row],[PIB nominal (miles de millones de G.)]]*100</f>
        <v>2.36440595760169</v>
      </c>
      <c r="BT57" s="56">
        <v>113.70690855399999</v>
      </c>
      <c r="BU57" s="56">
        <f>SUMIFS($BT$3:$BT57,$D$3:$D57,D57)</f>
        <v>613.57044166299988</v>
      </c>
      <c r="BV57" s="56">
        <f t="shared" si="32"/>
        <v>1553.5150267989998</v>
      </c>
      <c r="BW57" s="100">
        <f t="shared" si="46"/>
        <v>0.23768835063431681</v>
      </c>
      <c r="BX57" s="100">
        <f t="shared" si="47"/>
        <v>-3.9492946826867437E-2</v>
      </c>
      <c r="BY57" s="100">
        <f t="shared" si="54"/>
        <v>-4.6566916523109736E-3</v>
      </c>
      <c r="BZ57" s="56">
        <f t="shared" si="13"/>
        <v>16.353357060256371</v>
      </c>
      <c r="CA57" s="56">
        <f>Datos1[[#This Row],[Adquisición Neta de Activos no Financieros]]/Datos1[[#This Row],[PIB nominal (miles de millones de G.)]]*100</f>
        <v>0.12652932900965672</v>
      </c>
      <c r="CB57" s="56">
        <f>+Datos1[[#This Row],[ANANF acumulado por año]]/Datos1[[#This Row],[PIB nominal (miles de millones de G.)]]*100</f>
        <v>0.68276112041960058</v>
      </c>
      <c r="CC57" s="56">
        <f>+Datos1[[#This Row],[ANANF acumulado 12 meses]]/Datos1[[#This Row],[PIB nominal (miles de millones de G.)]]*100</f>
        <v>1.7287007135010313</v>
      </c>
      <c r="CD57" s="4">
        <v>68.58638080599998</v>
      </c>
      <c r="CE57" s="4">
        <f t="shared" si="14"/>
        <v>9.8641110646198769</v>
      </c>
      <c r="CF57" s="4">
        <f t="shared" si="15"/>
        <v>45.120527748000015</v>
      </c>
      <c r="CG57" s="4">
        <f t="shared" si="16"/>
        <v>6.4892459956364945</v>
      </c>
      <c r="CH57" s="56">
        <f t="shared" si="17"/>
        <v>52.778092030000096</v>
      </c>
      <c r="CI57" s="56">
        <f>SUMIFS($CH$3:$CH57,$D$3:$D57,D57)</f>
        <v>1122.2146152340001</v>
      </c>
      <c r="CJ57" s="56">
        <f t="shared" si="63"/>
        <v>571.28318488699983</v>
      </c>
      <c r="CK57" s="56">
        <f>Datos1[[#This Row],[Resultado Fiscal (miles de millones de G.)]]*1000/$F$207</f>
        <v>7.5905588754598172</v>
      </c>
      <c r="CL57" s="56">
        <f t="shared" si="33"/>
        <v>82.162095722977199</v>
      </c>
      <c r="CM57" s="100">
        <f t="shared" si="48"/>
        <v>0.68129458448833913</v>
      </c>
      <c r="CN57" s="100">
        <f t="shared" si="49"/>
        <v>0.26455715011341052</v>
      </c>
      <c r="CO57" s="100">
        <f t="shared" si="55"/>
        <v>2.1530124869686418E-3</v>
      </c>
      <c r="CP57" s="4">
        <f t="shared" si="18"/>
        <v>5.8729734682694483E-2</v>
      </c>
      <c r="CQ57" s="4">
        <f t="shared" si="64"/>
        <v>0.63570524410065787</v>
      </c>
      <c r="CR57" s="73">
        <v>354.30285514299999</v>
      </c>
      <c r="CS57" s="113">
        <f>SUM(Datos1[[#This Row],[FFPP]:[MTESS]])</f>
        <v>0</v>
      </c>
      <c r="CT57" s="113"/>
      <c r="CU57" s="113"/>
      <c r="CV57" s="113"/>
      <c r="CW57" s="113"/>
      <c r="CX57" s="113"/>
      <c r="CY57" s="113"/>
      <c r="CZ57" s="113"/>
    </row>
    <row r="58" spans="1:104">
      <c r="A58">
        <v>56</v>
      </c>
      <c r="B58" s="3">
        <v>39295</v>
      </c>
      <c r="C58" s="14" t="str">
        <f t="shared" si="0"/>
        <v>Agosto</v>
      </c>
      <c r="D58" s="14">
        <f t="shared" si="19"/>
        <v>2007</v>
      </c>
      <c r="E58" s="15">
        <f t="shared" si="1"/>
        <v>89866.048799896729</v>
      </c>
      <c r="F58" s="15">
        <f t="shared" si="59"/>
        <v>5032.744607430137</v>
      </c>
      <c r="G58" s="56">
        <v>915.8331071770001</v>
      </c>
      <c r="H58" s="4">
        <f t="shared" si="20"/>
        <v>1.0191091289840404</v>
      </c>
      <c r="I58" s="4">
        <f>SUMIFS($G$3:$G58,$D$3:$D58,D58)</f>
        <v>7009.8603192110004</v>
      </c>
      <c r="J58" s="2">
        <f t="shared" si="27"/>
        <v>10271.512886402001</v>
      </c>
      <c r="K58" s="95">
        <f t="shared" si="34"/>
        <v>0.11369358090410953</v>
      </c>
      <c r="L58" s="95">
        <f t="shared" si="35"/>
        <v>0.19743919297945545</v>
      </c>
      <c r="M58" s="95">
        <f t="shared" si="50"/>
        <v>0.10544850765083202</v>
      </c>
      <c r="N58" s="4">
        <v>566.00638478600001</v>
      </c>
      <c r="O58" s="4">
        <f t="shared" si="3"/>
        <v>0.62983339352809109</v>
      </c>
      <c r="P58" s="4">
        <f>SUMIFS($N$3:$N58,$D$3:$D58,D58)</f>
        <v>4588.0904054069997</v>
      </c>
      <c r="Q58" s="4">
        <f t="shared" si="61"/>
        <v>6720.6081359620002</v>
      </c>
      <c r="R58" s="97">
        <f t="shared" si="36"/>
        <v>0.17935320673746857</v>
      </c>
      <c r="S58" s="97">
        <f t="shared" si="37"/>
        <v>0.10250791138300408</v>
      </c>
      <c r="T58" s="97">
        <f t="shared" si="51"/>
        <v>9.6268693992749954E-2</v>
      </c>
      <c r="U58" s="4">
        <v>189.98657135300002</v>
      </c>
      <c r="V58" s="4">
        <f t="shared" si="28"/>
        <v>2963.802786969</v>
      </c>
      <c r="W58" s="97">
        <f t="shared" si="56"/>
        <v>0.12131670576831532</v>
      </c>
      <c r="X58" s="97">
        <f t="shared" si="38"/>
        <v>8.8971390421299867E-2</v>
      </c>
      <c r="Y58" s="4">
        <v>355.05290896766661</v>
      </c>
      <c r="Z58" s="4">
        <f t="shared" si="29"/>
        <v>3771.5175980113327</v>
      </c>
      <c r="AA58" s="97">
        <f t="shared" si="57"/>
        <v>9.9279495600248957E-2</v>
      </c>
      <c r="AB58" s="97">
        <f t="shared" si="39"/>
        <v>0.17304028803082083</v>
      </c>
      <c r="AC58" s="4">
        <v>95.237568474</v>
      </c>
      <c r="AD58" s="4">
        <f t="shared" si="4"/>
        <v>0.10597725141567528</v>
      </c>
      <c r="AE58" s="4">
        <v>26.089344553</v>
      </c>
      <c r="AF58" s="4">
        <f t="shared" si="5"/>
        <v>2.9031369356287955E-2</v>
      </c>
      <c r="AG58" s="4">
        <v>228.49980936400001</v>
      </c>
      <c r="AH58" s="4">
        <f t="shared" si="6"/>
        <v>45.4026236552223</v>
      </c>
      <c r="AI58" s="4">
        <v>126.464925295</v>
      </c>
      <c r="AJ58" s="4">
        <f t="shared" si="7"/>
        <v>18.188218334733978</v>
      </c>
      <c r="AK58" s="101">
        <f>SUMIFS($AJ$3:$AJ58,$D$3:$D58,D58)</f>
        <v>149.35065939771908</v>
      </c>
      <c r="AL58" s="4">
        <v>50.95</v>
      </c>
      <c r="AM58" s="4">
        <f t="shared" si="8"/>
        <v>7.3276422058767823</v>
      </c>
      <c r="AN58" s="101">
        <f>SUMIFS($AM$3:$AM58,$D$3:$D58,D58)</f>
        <v>44.815052170319611</v>
      </c>
      <c r="AO58" s="4">
        <f t="shared" si="21"/>
        <v>51.084884069000012</v>
      </c>
      <c r="AP58" s="56">
        <v>675.31589589500004</v>
      </c>
      <c r="AQ58" s="4">
        <f t="shared" si="9"/>
        <v>0.75146944247956748</v>
      </c>
      <c r="AR58" s="4">
        <f>SUMIFS($AP$3:$AP58,$D$3:$D58,D58)</f>
        <v>5033.5580510319996</v>
      </c>
      <c r="AS58" s="4">
        <f t="shared" si="30"/>
        <v>8063.8609673259998</v>
      </c>
      <c r="AT58" s="97">
        <f t="shared" si="40"/>
        <v>0.11224829486725252</v>
      </c>
      <c r="AU58" s="97">
        <f t="shared" si="41"/>
        <v>9.1796104142023882E-2</v>
      </c>
      <c r="AV58" s="98">
        <f t="shared" si="52"/>
        <v>0.11770869304188247</v>
      </c>
      <c r="AW58" s="4">
        <v>343.65585076900004</v>
      </c>
      <c r="AX58" s="4">
        <f>SUMIFS($AW$3:$AW58,$D$3:$D58,D58)</f>
        <v>2642.2847742550002</v>
      </c>
      <c r="AY58" s="4">
        <f t="shared" si="31"/>
        <v>4162.5145618499992</v>
      </c>
      <c r="AZ58" s="97">
        <f t="shared" si="42"/>
        <v>0.10548799769898221</v>
      </c>
      <c r="BA58" s="97">
        <f t="shared" si="43"/>
        <v>0.11383030389668836</v>
      </c>
      <c r="BB58" s="97">
        <f t="shared" si="58"/>
        <v>0.13141724087368689</v>
      </c>
      <c r="BC58" s="4">
        <v>249.75181523399999</v>
      </c>
      <c r="BD58" s="4">
        <f t="shared" si="22"/>
        <v>93.904035535000048</v>
      </c>
      <c r="BE58" s="4">
        <v>45.967062267999999</v>
      </c>
      <c r="BF58" s="4">
        <v>36.412963830999999</v>
      </c>
      <c r="BG58" s="4">
        <f t="shared" si="10"/>
        <v>5.2369218961550601</v>
      </c>
      <c r="BH58" s="4">
        <f>Datos1[[#This Row],[Intereses]]/Datos1[[#This Row],[PIB nominal (miles de millones de G.)]]*100</f>
        <v>4.0519155250811296E-2</v>
      </c>
      <c r="BI58" s="4">
        <v>130.15392419200001</v>
      </c>
      <c r="BJ58" s="4">
        <v>102.643670646</v>
      </c>
      <c r="BK58" s="4">
        <v>16.482424188999996</v>
      </c>
      <c r="BL58" s="56">
        <f t="shared" si="60"/>
        <v>240.51721128200006</v>
      </c>
      <c r="BM58" s="56">
        <f>SUMIFS($BL$3:$BL58,$D$3:$D58,D58)</f>
        <v>1976.3022681790001</v>
      </c>
      <c r="BN58" s="56">
        <f t="shared" si="62"/>
        <v>2207.651919076</v>
      </c>
      <c r="BO58" s="100">
        <f t="shared" si="44"/>
        <v>0.52550974286829955</v>
      </c>
      <c r="BP58" s="100">
        <f t="shared" si="45"/>
        <v>0.17364667758441454</v>
      </c>
      <c r="BQ58" s="100">
        <f t="shared" si="53"/>
        <v>6.286334874651911E-2</v>
      </c>
      <c r="BR58" s="2">
        <f t="shared" si="12"/>
        <v>0.26763968650447267</v>
      </c>
      <c r="BS58" s="2">
        <f>+Datos1[[#This Row],[RON acumulado 12 meses]]/Datos1[[#This Row],[PIB nominal (miles de millones de G.)]]*100</f>
        <v>2.4566028534221447</v>
      </c>
      <c r="BT58" s="56">
        <v>128.139256053</v>
      </c>
      <c r="BU58" s="56">
        <f>SUMIFS($BT$3:$BT58,$D$3:$D58,D58)</f>
        <v>741.70969771599994</v>
      </c>
      <c r="BV58" s="56">
        <f t="shared" si="32"/>
        <v>1567.0488048909999</v>
      </c>
      <c r="BW58" s="100">
        <f t="shared" si="46"/>
        <v>0.11809015007646928</v>
      </c>
      <c r="BX58" s="100">
        <f t="shared" si="47"/>
        <v>-1.5521893786185292E-2</v>
      </c>
      <c r="BY58" s="100">
        <f t="shared" si="54"/>
        <v>1.5747600589355537E-2</v>
      </c>
      <c r="BZ58" s="56">
        <f t="shared" si="13"/>
        <v>18.429021018324136</v>
      </c>
      <c r="CA58" s="56">
        <f>Datos1[[#This Row],[Adquisición Neta de Activos no Financieros]]/Datos1[[#This Row],[PIB nominal (miles de millones de G.)]]*100</f>
        <v>0.14258917329093393</v>
      </c>
      <c r="CB58" s="56">
        <f>+Datos1[[#This Row],[ANANF acumulado por año]]/Datos1[[#This Row],[PIB nominal (miles de millones de G.)]]*100</f>
        <v>0.82535029371053459</v>
      </c>
      <c r="CC58" s="56">
        <f>+Datos1[[#This Row],[ANANF acumulado 12 meses]]/Datos1[[#This Row],[PIB nominal (miles de millones de G.)]]*100</f>
        <v>1.7437606591342656</v>
      </c>
      <c r="CD58" s="4">
        <v>60.092019128000004</v>
      </c>
      <c r="CE58" s="4">
        <f t="shared" si="14"/>
        <v>8.6424497664119286</v>
      </c>
      <c r="CF58" s="4">
        <f t="shared" si="15"/>
        <v>68.047236924999993</v>
      </c>
      <c r="CG58" s="4">
        <f t="shared" si="16"/>
        <v>9.786571251912207</v>
      </c>
      <c r="CH58" s="56">
        <f t="shared" si="17"/>
        <v>112.37795522900007</v>
      </c>
      <c r="CI58" s="56">
        <f>SUMIFS($CH$3:$CH58,$D$3:$D58,D58)</f>
        <v>1234.5925704630001</v>
      </c>
      <c r="CJ58" s="56">
        <f t="shared" si="63"/>
        <v>640.60311418499987</v>
      </c>
      <c r="CK58" s="56">
        <f>Datos1[[#This Row],[Resultado Fiscal (miles de millones de G.)]]*1000/$F$207</f>
        <v>16.162226648599653</v>
      </c>
      <c r="CL58" s="56">
        <f t="shared" si="33"/>
        <v>92.131705921847086</v>
      </c>
      <c r="CM58" s="100">
        <f t="shared" si="48"/>
        <v>1.6099188896649488</v>
      </c>
      <c r="CN58" s="100">
        <f t="shared" si="49"/>
        <v>0.32681286167399271</v>
      </c>
      <c r="CO58" s="100">
        <f t="shared" si="55"/>
        <v>0.19890027955412526</v>
      </c>
      <c r="CP58" s="4">
        <f t="shared" si="18"/>
        <v>0.12505051321353877</v>
      </c>
      <c r="CQ58" s="4">
        <f t="shared" si="64"/>
        <v>0.71284219428787887</v>
      </c>
      <c r="CR58" s="73">
        <v>354.32363806799998</v>
      </c>
      <c r="CS58" s="113">
        <f>SUM(Datos1[[#This Row],[FFPP]:[MTESS]])</f>
        <v>0</v>
      </c>
      <c r="CT58" s="113"/>
      <c r="CU58" s="113"/>
      <c r="CV58" s="113"/>
      <c r="CW58" s="113"/>
      <c r="CX58" s="113"/>
      <c r="CY58" s="113"/>
      <c r="CZ58" s="113"/>
    </row>
    <row r="59" spans="1:104">
      <c r="A59">
        <v>57</v>
      </c>
      <c r="B59" s="3">
        <v>39326</v>
      </c>
      <c r="C59" s="14" t="str">
        <f t="shared" si="0"/>
        <v>Septiembre</v>
      </c>
      <c r="D59" s="14">
        <f t="shared" si="19"/>
        <v>2007</v>
      </c>
      <c r="E59" s="15">
        <f t="shared" si="1"/>
        <v>89866.048799896729</v>
      </c>
      <c r="F59" s="15">
        <f t="shared" si="59"/>
        <v>5032.744607430137</v>
      </c>
      <c r="G59" s="56">
        <v>819.66443758600008</v>
      </c>
      <c r="H59" s="4">
        <f t="shared" si="20"/>
        <v>0.91209577869739611</v>
      </c>
      <c r="I59" s="4">
        <f>SUMIFS($G$3:$G59,$D$3:$D59,D59)</f>
        <v>7829.524756797</v>
      </c>
      <c r="J59" s="2">
        <f t="shared" si="27"/>
        <v>10151.433739785001</v>
      </c>
      <c r="K59" s="95">
        <f t="shared" si="34"/>
        <v>8.232472327677165E-2</v>
      </c>
      <c r="L59" s="95">
        <f t="shared" si="35"/>
        <v>-0.12777862880419599</v>
      </c>
      <c r="M59" s="95">
        <f t="shared" si="50"/>
        <v>6.4380321623092485E-2</v>
      </c>
      <c r="N59" s="4">
        <v>555.50086982500011</v>
      </c>
      <c r="O59" s="4">
        <f t="shared" si="3"/>
        <v>0.61814320006649548</v>
      </c>
      <c r="P59" s="4">
        <f>SUMIFS($N$3:$N59,$D$3:$D59,D59)</f>
        <v>5143.591275232</v>
      </c>
      <c r="Q59" s="4">
        <f t="shared" si="61"/>
        <v>6734.459299827</v>
      </c>
      <c r="R59" s="97">
        <f t="shared" si="36"/>
        <v>2.5572180161070657E-2</v>
      </c>
      <c r="S59" s="97">
        <f t="shared" si="37"/>
        <v>9.3647426642949672E-2</v>
      </c>
      <c r="T59" s="97">
        <f t="shared" si="51"/>
        <v>8.6839681330226792E-2</v>
      </c>
      <c r="U59" s="4">
        <v>318.29514676200012</v>
      </c>
      <c r="V59" s="4">
        <f t="shared" si="28"/>
        <v>3027.741858892</v>
      </c>
      <c r="W59" s="97">
        <f t="shared" si="56"/>
        <v>0.12585232609866348</v>
      </c>
      <c r="X59" s="97">
        <f t="shared" si="38"/>
        <v>0.25137623295795763</v>
      </c>
      <c r="Y59" s="4">
        <v>287.57411807266658</v>
      </c>
      <c r="Z59" s="4">
        <f t="shared" si="29"/>
        <v>3777.9079781299997</v>
      </c>
      <c r="AA59" s="97">
        <f t="shared" si="57"/>
        <v>0.10106069139870621</v>
      </c>
      <c r="AB59" s="97">
        <f t="shared" si="39"/>
        <v>2.2726705908262756E-2</v>
      </c>
      <c r="AC59" s="4">
        <v>61.147227316999995</v>
      </c>
      <c r="AD59" s="4">
        <f t="shared" si="4"/>
        <v>6.8042634714201716E-2</v>
      </c>
      <c r="AE59" s="4">
        <v>7.7635936969999992</v>
      </c>
      <c r="AF59" s="4">
        <f t="shared" si="5"/>
        <v>8.6390731546315859E-3</v>
      </c>
      <c r="AG59" s="4">
        <v>195.252746747</v>
      </c>
      <c r="AH59" s="4">
        <f t="shared" si="6"/>
        <v>38.796474285370429</v>
      </c>
      <c r="AI59" s="4">
        <v>129.84474825300001</v>
      </c>
      <c r="AJ59" s="4">
        <f t="shared" si="7"/>
        <v>18.674305348579558</v>
      </c>
      <c r="AK59" s="101">
        <f>SUMIFS($AJ$3:$AJ59,$D$3:$D59,D59)</f>
        <v>168.02496474629865</v>
      </c>
      <c r="AL59" s="4">
        <v>19.84</v>
      </c>
      <c r="AM59" s="4">
        <f t="shared" si="8"/>
        <v>2.8533939423865622</v>
      </c>
      <c r="AN59" s="101">
        <f>SUMIFS($AM$3:$AM59,$D$3:$D59,D59)</f>
        <v>47.668446112706171</v>
      </c>
      <c r="AO59" s="4">
        <f t="shared" si="21"/>
        <v>45.567998493999994</v>
      </c>
      <c r="AP59" s="56">
        <v>720.44249109400016</v>
      </c>
      <c r="AQ59" s="4">
        <f t="shared" si="9"/>
        <v>0.80168484173394305</v>
      </c>
      <c r="AR59" s="4">
        <f>SUMIFS($AP$3:$AP59,$D$3:$D59,D59)</f>
        <v>5754.0005421259993</v>
      </c>
      <c r="AS59" s="4">
        <f t="shared" si="30"/>
        <v>8165.1433757369996</v>
      </c>
      <c r="AT59" s="97">
        <f t="shared" si="40"/>
        <v>0.16358032638685982</v>
      </c>
      <c r="AU59" s="97">
        <f t="shared" si="41"/>
        <v>0.10029517123088572</v>
      </c>
      <c r="AV59" s="98">
        <f t="shared" ref="AV59:AV90" si="65">IFERROR(AS59/AS47-1,0)</f>
        <v>0.11874504054532875</v>
      </c>
      <c r="AW59" s="4">
        <v>343.69783445500008</v>
      </c>
      <c r="AX59" s="4">
        <f>SUMIFS($AW$3:$AW59,$D$3:$D59,D59)</f>
        <v>2985.9826087100005</v>
      </c>
      <c r="AY59" s="4">
        <f t="shared" si="31"/>
        <v>4207.2343597290001</v>
      </c>
      <c r="AZ59" s="97">
        <f t="shared" si="42"/>
        <v>0.14957552866139157</v>
      </c>
      <c r="BA59" s="97">
        <f t="shared" si="43"/>
        <v>0.1178310982760995</v>
      </c>
      <c r="BB59" s="97">
        <f t="shared" si="58"/>
        <v>0.1283687416536794</v>
      </c>
      <c r="BC59" s="4">
        <v>252.945708005</v>
      </c>
      <c r="BD59" s="4">
        <f t="shared" si="22"/>
        <v>90.752126450000077</v>
      </c>
      <c r="BE59" s="4">
        <v>67.604237760999993</v>
      </c>
      <c r="BF59" s="4">
        <v>29.761575586999999</v>
      </c>
      <c r="BG59" s="4">
        <f t="shared" si="10"/>
        <v>4.2803175149105641</v>
      </c>
      <c r="BH59" s="4">
        <f>Datos1[[#This Row],[Intereses]]/Datos1[[#This Row],[PIB nominal (miles de millones de G.)]]*100</f>
        <v>3.3117707949160663E-2</v>
      </c>
      <c r="BI59" s="4">
        <v>112.404600065</v>
      </c>
      <c r="BJ59" s="4">
        <v>104.06138598000003</v>
      </c>
      <c r="BK59" s="4">
        <v>62.912857246000002</v>
      </c>
      <c r="BL59" s="56">
        <f t="shared" si="60"/>
        <v>99.221946491999915</v>
      </c>
      <c r="BM59" s="56">
        <f>SUMIFS($BL$3:$BL59,$D$3:$D59,D59)</f>
        <v>2075.5242146709998</v>
      </c>
      <c r="BN59" s="56">
        <f t="shared" si="62"/>
        <v>1986.2903640479997</v>
      </c>
      <c r="BO59" s="100">
        <f t="shared" si="44"/>
        <v>-0.69049578028328495</v>
      </c>
      <c r="BP59" s="100">
        <f t="shared" si="45"/>
        <v>3.5441510850884539E-2</v>
      </c>
      <c r="BQ59" s="100">
        <f t="shared" si="53"/>
        <v>-0.11283848140862951</v>
      </c>
      <c r="BR59" s="2">
        <f t="shared" si="12"/>
        <v>0.11041093696345303</v>
      </c>
      <c r="BS59" s="2">
        <f>+Datos1[[#This Row],[RON acumulado 12 meses]]/Datos1[[#This Row],[PIB nominal (miles de millones de G.)]]*100</f>
        <v>2.2102789547038393</v>
      </c>
      <c r="BT59" s="56">
        <v>140.114679951</v>
      </c>
      <c r="BU59" s="56">
        <f>SUMIFS($BT$3:$BT59,$D$3:$D59,D59)</f>
        <v>881.82437766699991</v>
      </c>
      <c r="BV59" s="56">
        <f t="shared" si="32"/>
        <v>1583.8890672879998</v>
      </c>
      <c r="BW59" s="100">
        <f t="shared" si="46"/>
        <v>0.13660792507596464</v>
      </c>
      <c r="BX59" s="100">
        <f t="shared" si="47"/>
        <v>5.8698907316083737E-3</v>
      </c>
      <c r="BY59" s="100">
        <f t="shared" si="54"/>
        <v>1.0249622730595043E-2</v>
      </c>
      <c r="BZ59" s="56">
        <f t="shared" si="13"/>
        <v>20.151329587278997</v>
      </c>
      <c r="CA59" s="56">
        <f>Datos1[[#This Row],[Adquisición Neta de Activos no Financieros]]/Datos1[[#This Row],[PIB nominal (miles de millones de G.)]]*100</f>
        <v>0.15591503334367252</v>
      </c>
      <c r="CB59" s="56">
        <f>+Datos1[[#This Row],[ANANF acumulado por año]]/Datos1[[#This Row],[PIB nominal (miles de millones de G.)]]*100</f>
        <v>0.9812653270542071</v>
      </c>
      <c r="CC59" s="56">
        <f>+Datos1[[#This Row],[ANANF acumulado 12 meses]]/Datos1[[#This Row],[PIB nominal (miles de millones de G.)]]*100</f>
        <v>1.7624999523622318</v>
      </c>
      <c r="CD59" s="4">
        <v>36.504970028000002</v>
      </c>
      <c r="CE59" s="4">
        <f t="shared" si="14"/>
        <v>5.2501542512549513</v>
      </c>
      <c r="CF59" s="4">
        <f t="shared" si="15"/>
        <v>103.609709923</v>
      </c>
      <c r="CG59" s="4">
        <f t="shared" si="16"/>
        <v>14.901175336024048</v>
      </c>
      <c r="CH59" s="56">
        <f t="shared" si="17"/>
        <v>-40.892733459000084</v>
      </c>
      <c r="CI59" s="56">
        <f>SUMIFS($CH$3:$CH59,$D$3:$D59,D59)</f>
        <v>1193.6998370040001</v>
      </c>
      <c r="CJ59" s="56">
        <f t="shared" si="63"/>
        <v>402.40129675999992</v>
      </c>
      <c r="CK59" s="56">
        <f>Datos1[[#This Row],[Resultado Fiscal (miles de millones de G.)]]*1000/$F$207</f>
        <v>-5.8812035251783836</v>
      </c>
      <c r="CL59" s="56">
        <f t="shared" si="33"/>
        <v>57.873458799570592</v>
      </c>
      <c r="CM59" s="100">
        <f t="shared" si="48"/>
        <v>-1.2072521580711746</v>
      </c>
      <c r="CN59" s="100">
        <f t="shared" si="49"/>
        <v>5.8428484354057231E-2</v>
      </c>
      <c r="CO59" s="100">
        <f t="shared" si="55"/>
        <v>-0.40039267466245365</v>
      </c>
      <c r="CP59" s="4">
        <f t="shared" si="18"/>
        <v>-4.5504096380219489E-2</v>
      </c>
      <c r="CQ59" s="4">
        <f t="shared" si="64"/>
        <v>0.44777900234160772</v>
      </c>
      <c r="CR59" s="73">
        <v>355.033637822</v>
      </c>
      <c r="CS59" s="113">
        <f>SUM(Datos1[[#This Row],[FFPP]:[MTESS]])</f>
        <v>0</v>
      </c>
      <c r="CT59" s="113"/>
      <c r="CU59" s="113"/>
      <c r="CV59" s="113"/>
      <c r="CW59" s="113"/>
      <c r="CX59" s="113"/>
      <c r="CY59" s="113"/>
      <c r="CZ59" s="113"/>
    </row>
    <row r="60" spans="1:104">
      <c r="A60">
        <v>58</v>
      </c>
      <c r="B60" s="3">
        <v>39356</v>
      </c>
      <c r="C60" s="14" t="str">
        <f t="shared" si="0"/>
        <v>Octubre</v>
      </c>
      <c r="D60" s="14">
        <f t="shared" si="19"/>
        <v>2007</v>
      </c>
      <c r="E60" s="15">
        <f t="shared" si="1"/>
        <v>89866.048799896729</v>
      </c>
      <c r="F60" s="15">
        <f t="shared" si="59"/>
        <v>5032.744607430137</v>
      </c>
      <c r="G60" s="56">
        <v>964.51359225900001</v>
      </c>
      <c r="H60" s="4">
        <f t="shared" si="20"/>
        <v>1.0732791806688493</v>
      </c>
      <c r="I60" s="4">
        <f>SUMIFS($G$3:$G60,$D$3:$D60,D60)</f>
        <v>8794.0383490559998</v>
      </c>
      <c r="J60" s="2">
        <f t="shared" si="27"/>
        <v>10336.492410703999</v>
      </c>
      <c r="K60" s="95">
        <f t="shared" si="34"/>
        <v>9.7410654716149514E-2</v>
      </c>
      <c r="L60" s="95">
        <f t="shared" si="35"/>
        <v>0.23742062029816458</v>
      </c>
      <c r="M60" s="95">
        <f t="shared" si="50"/>
        <v>7.5805805403925675E-2</v>
      </c>
      <c r="N60" s="4">
        <v>570.05181706600001</v>
      </c>
      <c r="O60" s="4">
        <f t="shared" si="3"/>
        <v>0.63433501826181893</v>
      </c>
      <c r="P60" s="4">
        <f>SUMIFS($N$3:$N60,$D$3:$D60,D60)</f>
        <v>5713.6430922979998</v>
      </c>
      <c r="Q60" s="4">
        <f t="shared" si="61"/>
        <v>6797.5067876539997</v>
      </c>
      <c r="R60" s="97">
        <f t="shared" si="36"/>
        <v>0.12435295754107778</v>
      </c>
      <c r="S60" s="97">
        <f t="shared" si="37"/>
        <v>9.6635404901733724E-2</v>
      </c>
      <c r="T60" s="97">
        <f t="shared" si="51"/>
        <v>9.0946913420981712E-2</v>
      </c>
      <c r="U60" s="4">
        <v>221.456256951</v>
      </c>
      <c r="V60" s="4">
        <f t="shared" si="28"/>
        <v>3064.1536992719998</v>
      </c>
      <c r="W60" s="97">
        <f t="shared" si="56"/>
        <v>0.12616880742103875</v>
      </c>
      <c r="X60" s="97">
        <f t="shared" si="38"/>
        <v>0.19677351554149181</v>
      </c>
      <c r="Y60" s="4">
        <v>372.03557215366664</v>
      </c>
      <c r="Z60" s="4">
        <f t="shared" si="29"/>
        <v>3816.4280274076659</v>
      </c>
      <c r="AA60" s="97">
        <f t="shared" si="57"/>
        <v>0.10245127701216683</v>
      </c>
      <c r="AB60" s="97">
        <f t="shared" si="39"/>
        <v>0.11549702078481139</v>
      </c>
      <c r="AC60" s="4">
        <v>56.179014454999994</v>
      </c>
      <c r="AD60" s="4">
        <f t="shared" si="4"/>
        <v>6.2514169928726798E-2</v>
      </c>
      <c r="AE60" s="4">
        <v>24.308971544999999</v>
      </c>
      <c r="AF60" s="4">
        <f t="shared" si="5"/>
        <v>2.7050228500786089E-2</v>
      </c>
      <c r="AG60" s="4">
        <v>313.97378919300002</v>
      </c>
      <c r="AH60" s="4">
        <f t="shared" si="6"/>
        <v>62.3861955421823</v>
      </c>
      <c r="AI60" s="4">
        <v>127.44335605800001</v>
      </c>
      <c r="AJ60" s="4">
        <f t="shared" si="7"/>
        <v>18.328936500670917</v>
      </c>
      <c r="AK60" s="101">
        <f>SUMIFS($AJ$3:$AJ60,$D$3:$D60,D60)</f>
        <v>186.35390124696957</v>
      </c>
      <c r="AL60" s="4">
        <v>148.15</v>
      </c>
      <c r="AM60" s="4">
        <f t="shared" si="8"/>
        <v>21.306971399423851</v>
      </c>
      <c r="AN60" s="101">
        <f>SUMIFS($AM$3:$AM60,$D$3:$D60,D60)</f>
        <v>68.975417512130022</v>
      </c>
      <c r="AO60" s="4">
        <f t="shared" si="21"/>
        <v>38.380433135000004</v>
      </c>
      <c r="AP60" s="56">
        <v>734.76640464599996</v>
      </c>
      <c r="AQ60" s="4">
        <f t="shared" si="9"/>
        <v>0.81762402426537339</v>
      </c>
      <c r="AR60" s="4">
        <f>SUMIFS($AP$3:$AP60,$D$3:$D60,D60)</f>
        <v>6488.7669467719988</v>
      </c>
      <c r="AS60" s="4">
        <f t="shared" si="30"/>
        <v>8311.8768557700005</v>
      </c>
      <c r="AT60" s="97">
        <f t="shared" si="40"/>
        <v>0.24953276235266753</v>
      </c>
      <c r="AU60" s="97">
        <f t="shared" si="41"/>
        <v>0.11538000583405039</v>
      </c>
      <c r="AV60" s="98">
        <f t="shared" si="65"/>
        <v>0.12986326285119243</v>
      </c>
      <c r="AW60" s="4">
        <v>352.47150852800002</v>
      </c>
      <c r="AX60" s="4">
        <f>SUMIFS($AW$3:$AW60,$D$3:$D60,D60)</f>
        <v>3338.4541172380004</v>
      </c>
      <c r="AY60" s="4">
        <f t="shared" si="31"/>
        <v>4258.8754602010004</v>
      </c>
      <c r="AZ60" s="97">
        <f t="shared" si="42"/>
        <v>0.17166183699882809</v>
      </c>
      <c r="BA60" s="97">
        <f t="shared" si="43"/>
        <v>0.12327981986377723</v>
      </c>
      <c r="BB60" s="97">
        <f t="shared" si="58"/>
        <v>0.12840285746642222</v>
      </c>
      <c r="BC60" s="4">
        <v>257.105914412</v>
      </c>
      <c r="BD60" s="4">
        <f t="shared" si="22"/>
        <v>95.365594116000011</v>
      </c>
      <c r="BE60" s="4">
        <v>100.27055261299999</v>
      </c>
      <c r="BF60" s="4">
        <v>29.416338006</v>
      </c>
      <c r="BG60" s="4">
        <f t="shared" si="10"/>
        <v>4.230665356528025</v>
      </c>
      <c r="BH60" s="4">
        <f>Datos1[[#This Row],[Intereses]]/Datos1[[#This Row],[PIB nominal (miles de millones de G.)]]*100</f>
        <v>3.273353886015494E-2</v>
      </c>
      <c r="BI60" s="4">
        <v>124.82079412300001</v>
      </c>
      <c r="BJ60" s="4">
        <v>104.81346463999999</v>
      </c>
      <c r="BK60" s="4">
        <v>22.973746735999995</v>
      </c>
      <c r="BL60" s="56">
        <f t="shared" si="60"/>
        <v>229.74718761300005</v>
      </c>
      <c r="BM60" s="56">
        <f>SUMIFS($BL$3:$BL60,$D$3:$D60,D60)</f>
        <v>2305.271402284</v>
      </c>
      <c r="BN60" s="56">
        <f t="shared" si="62"/>
        <v>2024.6155549340001</v>
      </c>
      <c r="BO60" s="100">
        <f t="shared" si="44"/>
        <v>0.20021309745639249</v>
      </c>
      <c r="BP60" s="100">
        <f t="shared" si="45"/>
        <v>4.9805026462385715E-2</v>
      </c>
      <c r="BQ60" s="100">
        <f t="shared" si="53"/>
        <v>-0.10081277389208398</v>
      </c>
      <c r="BR60" s="2">
        <f t="shared" si="12"/>
        <v>0.25565515640347602</v>
      </c>
      <c r="BS60" s="2">
        <f>+Datos1[[#This Row],[RON acumulado 12 meses]]/Datos1[[#This Row],[PIB nominal (miles de millones de G.)]]*100</f>
        <v>2.2529259736813163</v>
      </c>
      <c r="BT60" s="56">
        <v>131.00804793500001</v>
      </c>
      <c r="BU60" s="56">
        <f>SUMIFS($BT$3:$BT60,$D$3:$D60,D60)</f>
        <v>1012.8324256019999</v>
      </c>
      <c r="BV60" s="56">
        <f t="shared" si="32"/>
        <v>1559.0895890409997</v>
      </c>
      <c r="BW60" s="100">
        <f t="shared" si="46"/>
        <v>-0.15916739617591724</v>
      </c>
      <c r="BX60" s="100">
        <f t="shared" si="47"/>
        <v>-1.903509970029249E-2</v>
      </c>
      <c r="BY60" s="100">
        <f t="shared" si="54"/>
        <v>-4.0564131124791958E-2</v>
      </c>
      <c r="BZ60" s="56">
        <f t="shared" si="13"/>
        <v>18.841611410363782</v>
      </c>
      <c r="CA60" s="56">
        <f>Datos1[[#This Row],[Adquisición Neta de Activos no Financieros]]/Datos1[[#This Row],[PIB nominal (miles de millones de G.)]]*100</f>
        <v>0.145781471072255</v>
      </c>
      <c r="CB60" s="56">
        <f>+Datos1[[#This Row],[ANANF acumulado por año]]/Datos1[[#This Row],[PIB nominal (miles de millones de G.)]]*100</f>
        <v>1.127046798126462</v>
      </c>
      <c r="CC60" s="56">
        <f>+Datos1[[#This Row],[ANANF acumulado 12 meses]]/Datos1[[#This Row],[PIB nominal (miles de millones de G.)]]*100</f>
        <v>1.7349039040456748</v>
      </c>
      <c r="CD60" s="4">
        <v>38.709753270999997</v>
      </c>
      <c r="CE60" s="4">
        <f t="shared" si="14"/>
        <v>5.5672467487273085</v>
      </c>
      <c r="CF60" s="4">
        <f t="shared" si="15"/>
        <v>92.298294664000011</v>
      </c>
      <c r="CG60" s="4">
        <f t="shared" si="16"/>
        <v>13.274364661636472</v>
      </c>
      <c r="CH60" s="56">
        <f t="shared" si="17"/>
        <v>98.739139678000043</v>
      </c>
      <c r="CI60" s="56">
        <f>SUMIFS($CH$3:$CH60,$D$3:$D60,D60)</f>
        <v>1292.4389766820002</v>
      </c>
      <c r="CJ60" s="56">
        <f t="shared" si="63"/>
        <v>465.52596589299992</v>
      </c>
      <c r="CK60" s="56">
        <f>Datos1[[#This Row],[Resultado Fiscal (miles de millones de G.)]]*1000/$F$207</f>
        <v>14.200688660971069</v>
      </c>
      <c r="CL60" s="56">
        <f t="shared" si="33"/>
        <v>66.952065075742922</v>
      </c>
      <c r="CM60" s="100">
        <f t="shared" si="48"/>
        <v>1.7724444072035315</v>
      </c>
      <c r="CN60" s="100">
        <f t="shared" si="49"/>
        <v>0.11089780059238485</v>
      </c>
      <c r="CO60" s="100">
        <f t="shared" si="55"/>
        <v>-0.25705997157228189</v>
      </c>
      <c r="CP60" s="4">
        <f t="shared" si="18"/>
        <v>0.10987368533122101</v>
      </c>
      <c r="CQ60" s="4">
        <f t="shared" si="64"/>
        <v>0.51802206963564079</v>
      </c>
      <c r="CR60" s="73">
        <v>365.05896937599999</v>
      </c>
      <c r="CS60" s="113">
        <f>SUM(Datos1[[#This Row],[FFPP]:[MTESS]])</f>
        <v>0</v>
      </c>
      <c r="CT60" s="113"/>
      <c r="CU60" s="113"/>
      <c r="CV60" s="113"/>
      <c r="CW60" s="113"/>
      <c r="CX60" s="113"/>
      <c r="CY60" s="113"/>
      <c r="CZ60" s="113"/>
    </row>
    <row r="61" spans="1:104">
      <c r="A61">
        <v>59</v>
      </c>
      <c r="B61" s="3">
        <v>39387</v>
      </c>
      <c r="C61" s="14" t="str">
        <f t="shared" si="0"/>
        <v>Noviembre</v>
      </c>
      <c r="D61" s="14">
        <f t="shared" si="19"/>
        <v>2007</v>
      </c>
      <c r="E61" s="15">
        <f t="shared" si="1"/>
        <v>89866.048799896729</v>
      </c>
      <c r="F61" s="15">
        <f t="shared" si="59"/>
        <v>5032.744607430137</v>
      </c>
      <c r="G61" s="56">
        <v>1011.2920694810001</v>
      </c>
      <c r="H61" s="4">
        <f t="shared" si="20"/>
        <v>1.1253327402129671</v>
      </c>
      <c r="I61" s="4">
        <f>SUMIFS($G$3:$G61,$D$3:$D61,D61)</f>
        <v>9805.3304185369998</v>
      </c>
      <c r="J61" s="2">
        <f t="shared" si="27"/>
        <v>10535.931820378</v>
      </c>
      <c r="K61" s="95">
        <f t="shared" si="34"/>
        <v>0.11104830579154368</v>
      </c>
      <c r="L61" s="95">
        <f t="shared" si="35"/>
        <v>0.245659612325976</v>
      </c>
      <c r="M61" s="95">
        <f t="shared" si="50"/>
        <v>8.8902646557898368E-2</v>
      </c>
      <c r="N61" s="4">
        <v>717.00717437000003</v>
      </c>
      <c r="O61" s="4">
        <f t="shared" si="3"/>
        <v>0.79786213363686243</v>
      </c>
      <c r="P61" s="4">
        <f>SUMIFS($N$3:$N61,$D$3:$D61,D61)</f>
        <v>6430.6502666679999</v>
      </c>
      <c r="Q61" s="4">
        <f t="shared" si="61"/>
        <v>6917.8893597669994</v>
      </c>
      <c r="R61" s="97">
        <f t="shared" si="36"/>
        <v>0.20177272552556302</v>
      </c>
      <c r="S61" s="97">
        <f t="shared" si="37"/>
        <v>0.10743786172808689</v>
      </c>
      <c r="T61" s="97">
        <f t="shared" si="51"/>
        <v>9.4134826338823308E-2</v>
      </c>
      <c r="U61" s="4">
        <v>331.01816230200001</v>
      </c>
      <c r="V61" s="4">
        <f t="shared" si="28"/>
        <v>3128.2603188409998</v>
      </c>
      <c r="W61" s="97">
        <f t="shared" si="56"/>
        <v>0.12199851581393584</v>
      </c>
      <c r="X61" s="97">
        <f t="shared" si="38"/>
        <v>0.24017927030277519</v>
      </c>
      <c r="Y61" s="4">
        <v>356.11491385266658</v>
      </c>
      <c r="Z61" s="4">
        <f t="shared" si="29"/>
        <v>3850.3258590103333</v>
      </c>
      <c r="AA61" s="97">
        <f t="shared" si="57"/>
        <v>0.1027391600550247</v>
      </c>
      <c r="AB61" s="97">
        <f t="shared" si="39"/>
        <v>0.10520184518450248</v>
      </c>
      <c r="AC61" s="4">
        <v>71.49727531500001</v>
      </c>
      <c r="AD61" s="4">
        <f t="shared" si="4"/>
        <v>7.9559829623979395E-2</v>
      </c>
      <c r="AE61" s="4">
        <v>21.598650731999999</v>
      </c>
      <c r="AF61" s="4">
        <f t="shared" si="5"/>
        <v>2.4034272142189499E-2</v>
      </c>
      <c r="AG61" s="4">
        <v>201.18896906400002</v>
      </c>
      <c r="AH61" s="4">
        <f t="shared" si="6"/>
        <v>39.975994165683062</v>
      </c>
      <c r="AI61" s="4">
        <v>121.887312244</v>
      </c>
      <c r="AJ61" s="4">
        <f t="shared" si="7"/>
        <v>17.52986483925449</v>
      </c>
      <c r="AK61" s="101">
        <f>SUMIFS($AJ$3:$AJ61,$D$3:$D61,D61)</f>
        <v>203.88376608622406</v>
      </c>
      <c r="AL61" s="4">
        <v>23</v>
      </c>
      <c r="AM61" s="4">
        <f t="shared" si="8"/>
        <v>3.3078659614360348</v>
      </c>
      <c r="AN61" s="101">
        <f>SUMIFS($AM$3:$AM61,$D$3:$D61,D61)</f>
        <v>72.283283473566058</v>
      </c>
      <c r="AO61" s="4">
        <f t="shared" si="21"/>
        <v>56.301656820000019</v>
      </c>
      <c r="AP61" s="56">
        <v>779.87495200000012</v>
      </c>
      <c r="AQ61" s="4">
        <f t="shared" si="9"/>
        <v>0.86781934046809495</v>
      </c>
      <c r="AR61" s="4">
        <f>SUMIFS($AP$3:$AP61,$D$3:$D61,D61)</f>
        <v>7268.641898771999</v>
      </c>
      <c r="AS61" s="4">
        <f t="shared" si="30"/>
        <v>8495.5942289470004</v>
      </c>
      <c r="AT61" s="97">
        <f t="shared" si="40"/>
        <v>0.30816914806269047</v>
      </c>
      <c r="AU61" s="97">
        <f t="shared" si="41"/>
        <v>0.13329989066431813</v>
      </c>
      <c r="AV61" s="98">
        <f t="shared" si="65"/>
        <v>0.15524685157372176</v>
      </c>
      <c r="AW61" s="4">
        <v>384.75800571799999</v>
      </c>
      <c r="AX61" s="4">
        <f>SUMIFS($AW$3:$AW61,$D$3:$D61,D61)</f>
        <v>3723.2121229560003</v>
      </c>
      <c r="AY61" s="4">
        <f t="shared" si="31"/>
        <v>4336.0195007319999</v>
      </c>
      <c r="AZ61" s="97">
        <f t="shared" si="42"/>
        <v>0.25078198411474495</v>
      </c>
      <c r="BA61" s="97">
        <f t="shared" si="43"/>
        <v>0.13523876955142056</v>
      </c>
      <c r="BB61" s="97">
        <f t="shared" si="58"/>
        <v>0.1359765049994035</v>
      </c>
      <c r="BC61" s="4">
        <v>281.86159409499999</v>
      </c>
      <c r="BD61" s="4">
        <f t="shared" si="22"/>
        <v>102.89641162300001</v>
      </c>
      <c r="BE61" s="4">
        <v>106.53506456</v>
      </c>
      <c r="BF61" s="4">
        <v>50.950675775999997</v>
      </c>
      <c r="BG61" s="4">
        <f t="shared" si="10"/>
        <v>7.3277393961562574</v>
      </c>
      <c r="BH61" s="4">
        <f>Datos1[[#This Row],[Intereses]]/Datos1[[#This Row],[PIB nominal (miles de millones de G.)]]*100</f>
        <v>5.669624564161159E-2</v>
      </c>
      <c r="BI61" s="4">
        <v>144.18320740500002</v>
      </c>
      <c r="BJ61" s="4">
        <v>77.082940618000009</v>
      </c>
      <c r="BK61" s="4">
        <v>16.365057923000002</v>
      </c>
      <c r="BL61" s="56">
        <f t="shared" si="60"/>
        <v>231.41711748099999</v>
      </c>
      <c r="BM61" s="56">
        <f>SUMIFS($BL$3:$BL61,$D$3:$D61,D61)</f>
        <v>2536.6885197649999</v>
      </c>
      <c r="BN61" s="56">
        <f t="shared" si="62"/>
        <v>2040.337591431</v>
      </c>
      <c r="BO61" s="100">
        <f t="shared" si="44"/>
        <v>7.289010220018044E-2</v>
      </c>
      <c r="BP61" s="100">
        <f t="shared" si="45"/>
        <v>5.1869771237174733E-2</v>
      </c>
      <c r="BQ61" s="100">
        <f t="shared" si="53"/>
        <v>-0.12123063368540665</v>
      </c>
      <c r="BR61" s="2">
        <f t="shared" si="12"/>
        <v>0.2575133997448722</v>
      </c>
      <c r="BS61" s="2">
        <f>+Datos1[[#This Row],[RON acumulado 12 meses]]/Datos1[[#This Row],[PIB nominal (miles de millones de G.)]]*100</f>
        <v>2.2704209416997809</v>
      </c>
      <c r="BT61" s="56">
        <v>166.76740225399999</v>
      </c>
      <c r="BU61" s="56">
        <f>SUMIFS($BT$3:$BT61,$D$3:$D61,D61)</f>
        <v>1179.599827856</v>
      </c>
      <c r="BV61" s="56">
        <f t="shared" si="32"/>
        <v>1528.4543390439999</v>
      </c>
      <c r="BW61" s="100">
        <f t="shared" si="46"/>
        <v>-0.15519168383840609</v>
      </c>
      <c r="BX61" s="100">
        <f t="shared" si="47"/>
        <v>-4.0888844768097621E-2</v>
      </c>
      <c r="BY61" s="100">
        <f t="shared" si="54"/>
        <v>-3.1461795815771909E-2</v>
      </c>
      <c r="BZ61" s="56">
        <f t="shared" si="13"/>
        <v>23.98453101709207</v>
      </c>
      <c r="CA61" s="56">
        <f>Datos1[[#This Row],[Adquisición Neta de Activos no Financieros]]/Datos1[[#This Row],[PIB nominal (miles de millones de G.)]]*100</f>
        <v>0.18557331103466923</v>
      </c>
      <c r="CB61" s="56">
        <f>+Datos1[[#This Row],[ANANF acumulado por año]]/Datos1[[#This Row],[PIB nominal (miles de millones de G.)]]*100</f>
        <v>1.3126201091611314</v>
      </c>
      <c r="CC61" s="56">
        <f>+Datos1[[#This Row],[ANANF acumulado 12 meses]]/Datos1[[#This Row],[PIB nominal (miles de millones de G.)]]*100</f>
        <v>1.700813999786932</v>
      </c>
      <c r="CD61" s="4">
        <v>73.198711153999994</v>
      </c>
      <c r="CE61" s="4">
        <f t="shared" si="14"/>
        <v>10.527457610752382</v>
      </c>
      <c r="CF61" s="4">
        <f t="shared" si="15"/>
        <v>93.568691099999995</v>
      </c>
      <c r="CG61" s="4">
        <f t="shared" si="16"/>
        <v>13.45707340633969</v>
      </c>
      <c r="CH61" s="56">
        <f t="shared" si="17"/>
        <v>64.649715227000002</v>
      </c>
      <c r="CI61" s="56">
        <f>SUMIFS($CH$3:$CH61,$D$3:$D61,D61)</f>
        <v>1357.0886919090003</v>
      </c>
      <c r="CJ61" s="56">
        <f t="shared" si="63"/>
        <v>511.88325238699997</v>
      </c>
      <c r="CK61" s="56">
        <f>Datos1[[#This Row],[Resultado Fiscal (miles de millones de G.)]]*1000/$F$207</f>
        <v>9.2979388006924442</v>
      </c>
      <c r="CL61" s="56">
        <f t="shared" si="33"/>
        <v>73.619182034788182</v>
      </c>
      <c r="CM61" s="100">
        <f t="shared" si="48"/>
        <v>2.534233543868905</v>
      </c>
      <c r="CN61" s="100">
        <f t="shared" si="49"/>
        <v>0.14841010404420185</v>
      </c>
      <c r="CO61" s="100">
        <f t="shared" si="55"/>
        <v>-0.31171478104663963</v>
      </c>
      <c r="CP61" s="4">
        <f t="shared" si="18"/>
        <v>7.1940088710202979E-2</v>
      </c>
      <c r="CQ61" s="4">
        <f t="shared" si="64"/>
        <v>0.56960694191284855</v>
      </c>
      <c r="CR61" s="73">
        <v>395.98510114800001</v>
      </c>
      <c r="CS61" s="113">
        <f>SUM(Datos1[[#This Row],[FFPP]:[MTESS]])</f>
        <v>0</v>
      </c>
      <c r="CT61" s="113"/>
      <c r="CU61" s="113"/>
      <c r="CV61" s="113"/>
      <c r="CW61" s="113"/>
      <c r="CX61" s="113"/>
      <c r="CY61" s="113"/>
      <c r="CZ61" s="113"/>
    </row>
    <row r="62" spans="1:104">
      <c r="A62">
        <v>60</v>
      </c>
      <c r="B62" s="3">
        <v>39417</v>
      </c>
      <c r="C62" s="14" t="str">
        <f t="shared" si="0"/>
        <v>Diciembre</v>
      </c>
      <c r="D62" s="14">
        <f t="shared" si="19"/>
        <v>2007</v>
      </c>
      <c r="E62" s="15">
        <f t="shared" si="1"/>
        <v>89866.048799896729</v>
      </c>
      <c r="F62" s="15">
        <f t="shared" si="59"/>
        <v>5032.744607430137</v>
      </c>
      <c r="G62" s="56">
        <v>1007.037033724</v>
      </c>
      <c r="H62" s="4">
        <f t="shared" si="20"/>
        <v>1.120597875585198</v>
      </c>
      <c r="I62" s="4">
        <f>SUMIFS($G$3:$G62,$D$3:$D62,D62)</f>
        <v>10812.367452261</v>
      </c>
      <c r="J62" s="2">
        <f t="shared" si="27"/>
        <v>10812.367452261</v>
      </c>
      <c r="K62" s="95">
        <f t="shared" si="34"/>
        <v>0.13148632131168014</v>
      </c>
      <c r="L62" s="95">
        <f t="shared" si="35"/>
        <v>0.37836723442690623</v>
      </c>
      <c r="M62" s="95">
        <f t="shared" si="50"/>
        <v>0.13148632131168014</v>
      </c>
      <c r="N62" s="4">
        <v>587.98889464900003</v>
      </c>
      <c r="O62" s="4">
        <f t="shared" si="3"/>
        <v>0.65429481155699332</v>
      </c>
      <c r="P62" s="4">
        <f>SUMIFS($N$3:$N62,$D$3:$D62,D62)</f>
        <v>7018.6391613169999</v>
      </c>
      <c r="Q62" s="4">
        <f t="shared" si="61"/>
        <v>7018.6391613169999</v>
      </c>
      <c r="R62" s="97">
        <f t="shared" si="36"/>
        <v>0.20677692528569147</v>
      </c>
      <c r="S62" s="97">
        <f t="shared" si="37"/>
        <v>0.11512799723082856</v>
      </c>
      <c r="T62" s="97">
        <f t="shared" si="51"/>
        <v>0.11512799723082856</v>
      </c>
      <c r="U62" s="4">
        <v>232.34261099499994</v>
      </c>
      <c r="V62" s="4">
        <f t="shared" si="28"/>
        <v>3174.5185483199998</v>
      </c>
      <c r="W62" s="97">
        <f t="shared" si="56"/>
        <v>0.1374523640345835</v>
      </c>
      <c r="X62" s="97">
        <f t="shared" si="38"/>
        <v>0.24858738332653996</v>
      </c>
      <c r="Y62" s="4">
        <v>321.48364038366668</v>
      </c>
      <c r="Z62" s="4">
        <f t="shared" si="29"/>
        <v>3838.4955399999994</v>
      </c>
      <c r="AA62" s="97">
        <f t="shared" si="57"/>
        <v>0.10087420916100709</v>
      </c>
      <c r="AB62" s="97">
        <f t="shared" si="39"/>
        <v>-3.5493019949845772E-2</v>
      </c>
      <c r="AC62" s="4">
        <v>89.729622526</v>
      </c>
      <c r="AD62" s="4">
        <f t="shared" si="4"/>
        <v>9.9848189304282742E-2</v>
      </c>
      <c r="AE62" s="4">
        <v>148.90361670499999</v>
      </c>
      <c r="AF62" s="4">
        <f t="shared" si="5"/>
        <v>0.16569507471788514</v>
      </c>
      <c r="AG62" s="4">
        <v>180.41489984400002</v>
      </c>
      <c r="AH62" s="4">
        <f t="shared" si="6"/>
        <v>35.848212837512733</v>
      </c>
      <c r="AI62" s="4">
        <v>122.026843771</v>
      </c>
      <c r="AJ62" s="4">
        <f t="shared" si="7"/>
        <v>17.549932299633205</v>
      </c>
      <c r="AK62" s="101">
        <f>SUMIFS($AJ$3:$AJ62,$D$3:$D62,D62)</f>
        <v>221.43369838585727</v>
      </c>
      <c r="AL62" s="4">
        <v>0</v>
      </c>
      <c r="AM62" s="4">
        <f t="shared" si="8"/>
        <v>0</v>
      </c>
      <c r="AN62" s="101">
        <f>SUMIFS($AM$3:$AM62,$D$3:$D62,D62)</f>
        <v>72.283283473566058</v>
      </c>
      <c r="AO62" s="4">
        <f t="shared" si="21"/>
        <v>58.388056073000016</v>
      </c>
      <c r="AP62" s="56">
        <v>1315.7070580649997</v>
      </c>
      <c r="AQ62" s="4">
        <f t="shared" si="9"/>
        <v>1.4640757834971283</v>
      </c>
      <c r="AR62" s="4">
        <f>SUMIFS($AP$3:$AP62,$D$3:$D62,D62)</f>
        <v>8584.3489568369987</v>
      </c>
      <c r="AS62" s="4">
        <f t="shared" si="30"/>
        <v>8584.3489568369987</v>
      </c>
      <c r="AT62" s="97">
        <f t="shared" si="40"/>
        <v>7.2337551922119436E-2</v>
      </c>
      <c r="AU62" s="97">
        <f t="shared" si="41"/>
        <v>0.12351042354508346</v>
      </c>
      <c r="AV62" s="98">
        <f t="shared" si="65"/>
        <v>0.12351042354508346</v>
      </c>
      <c r="AW62" s="4">
        <v>704.5410623959998</v>
      </c>
      <c r="AX62" s="4">
        <f>SUMIFS($AW$3:$AW62,$D$3:$D62,D62)</f>
        <v>4427.7531853520004</v>
      </c>
      <c r="AY62" s="4">
        <f t="shared" si="31"/>
        <v>4427.7531853520004</v>
      </c>
      <c r="AZ62" s="97">
        <f t="shared" si="42"/>
        <v>0.14969415830618704</v>
      </c>
      <c r="BA62" s="97">
        <f t="shared" si="43"/>
        <v>0.13751453401344849</v>
      </c>
      <c r="BB62" s="97">
        <f t="shared" si="58"/>
        <v>0.13751453401344849</v>
      </c>
      <c r="BC62" s="4">
        <v>282.61542051499998</v>
      </c>
      <c r="BD62" s="4">
        <f t="shared" si="22"/>
        <v>421.92564188099982</v>
      </c>
      <c r="BE62" s="4">
        <v>81.819048534000004</v>
      </c>
      <c r="BF62" s="4">
        <v>23.669714287000001</v>
      </c>
      <c r="BG62" s="4">
        <f t="shared" si="10"/>
        <v>3.4041844437775439</v>
      </c>
      <c r="BH62" s="4">
        <f>Datos1[[#This Row],[Intereses]]/Datos1[[#This Row],[PIB nominal (miles de millones de G.)]]*100</f>
        <v>2.6338883931244124E-2</v>
      </c>
      <c r="BI62" s="4">
        <v>226.53153421300001</v>
      </c>
      <c r="BJ62" s="4">
        <v>232.019542758</v>
      </c>
      <c r="BK62" s="4">
        <v>47.126155876999995</v>
      </c>
      <c r="BL62" s="56">
        <f t="shared" si="60"/>
        <v>-308.6700243409997</v>
      </c>
      <c r="BM62" s="56">
        <f>SUMIFS($BL$3:$BL62,$D$3:$D62,D62)</f>
        <v>2228.0184954240003</v>
      </c>
      <c r="BN62" s="56">
        <f t="shared" si="62"/>
        <v>2228.0184954240003</v>
      </c>
      <c r="BO62" s="100">
        <f t="shared" si="44"/>
        <v>-0.3781213921024601</v>
      </c>
      <c r="BP62" s="100">
        <f t="shared" si="45"/>
        <v>0.16330518817473139</v>
      </c>
      <c r="BQ62" s="100">
        <f t="shared" si="53"/>
        <v>0.16330518817473139</v>
      </c>
      <c r="BR62" s="2">
        <f t="shared" si="12"/>
        <v>-0.34347790791193039</v>
      </c>
      <c r="BS62" s="2">
        <f>+Datos1[[#This Row],[RON acumulado 12 meses]]/Datos1[[#This Row],[PIB nominal (miles de millones de G.)]]*100</f>
        <v>2.4792661134852971</v>
      </c>
      <c r="BT62" s="56">
        <v>348.00036732199999</v>
      </c>
      <c r="BU62" s="56">
        <f>SUMIFS($BT$3:$BT62,$D$3:$D62,D62)</f>
        <v>1527.6001951779999</v>
      </c>
      <c r="BV62" s="56">
        <f t="shared" si="32"/>
        <v>1527.6001951779999</v>
      </c>
      <c r="BW62" s="100">
        <f t="shared" si="46"/>
        <v>-2.448424310441677E-3</v>
      </c>
      <c r="BX62" s="100">
        <f t="shared" si="47"/>
        <v>-3.2394673411439978E-2</v>
      </c>
      <c r="BY62" s="100">
        <f t="shared" si="54"/>
        <v>-3.2394673411439978E-2</v>
      </c>
      <c r="BZ62" s="56">
        <f t="shared" si="13"/>
        <v>50.049503027464382</v>
      </c>
      <c r="CA62" s="56">
        <f>Datos1[[#This Row],[Adquisición Neta de Activos no Financieros]]/Datos1[[#This Row],[PIB nominal (miles de millones de G.)]]*100</f>
        <v>0.3872434272668277</v>
      </c>
      <c r="CB62" s="56">
        <f>+Datos1[[#This Row],[ANANF acumulado por año]]/Datos1[[#This Row],[PIB nominal (miles de millones de G.)]]*100</f>
        <v>1.6998635364279591</v>
      </c>
      <c r="CC62" s="56">
        <f>+Datos1[[#This Row],[ANANF acumulado 12 meses]]/Datos1[[#This Row],[PIB nominal (miles de millones de G.)]]*100</f>
        <v>1.6998635364279591</v>
      </c>
      <c r="CD62" s="4">
        <v>119.980912166</v>
      </c>
      <c r="CE62" s="4">
        <f t="shared" si="14"/>
        <v>17.25568588591122</v>
      </c>
      <c r="CF62" s="4">
        <f t="shared" si="15"/>
        <v>228.01945515599999</v>
      </c>
      <c r="CG62" s="4">
        <f t="shared" si="16"/>
        <v>32.793817141553163</v>
      </c>
      <c r="CH62" s="56">
        <f t="shared" si="17"/>
        <v>-656.67039166299969</v>
      </c>
      <c r="CI62" s="56">
        <f>SUMIFS($CH$3:$CH62,$D$3:$D62,D62)</f>
        <v>700.41830024600063</v>
      </c>
      <c r="CJ62" s="56">
        <f t="shared" si="63"/>
        <v>700.41830024600063</v>
      </c>
      <c r="CK62" s="56">
        <f>Datos1[[#This Row],[Resultado Fiscal (miles de millones de G.)]]*1000/$F$207</f>
        <v>-94.442505933256783</v>
      </c>
      <c r="CL62" s="56">
        <f t="shared" si="33"/>
        <v>100.73434148480997</v>
      </c>
      <c r="CM62" s="100">
        <f t="shared" si="48"/>
        <v>-0.22306416764854842</v>
      </c>
      <c r="CN62" s="100">
        <f t="shared" si="49"/>
        <v>1.0814473028132014</v>
      </c>
      <c r="CO62" s="100">
        <f t="shared" si="55"/>
        <v>1.0814473028132014</v>
      </c>
      <c r="CP62" s="4">
        <f t="shared" si="18"/>
        <v>-0.73072133517875804</v>
      </c>
      <c r="CQ62" s="4">
        <f t="shared" si="64"/>
        <v>0.77940257705733862</v>
      </c>
      <c r="CR62" s="73">
        <v>727.55862381500003</v>
      </c>
      <c r="CS62" s="113">
        <f>SUM(Datos1[[#This Row],[FFPP]:[MTESS]])</f>
        <v>0</v>
      </c>
      <c r="CT62" s="113"/>
      <c r="CU62" s="113"/>
      <c r="CV62" s="113"/>
      <c r="CW62" s="113"/>
      <c r="CX62" s="113"/>
      <c r="CY62" s="113"/>
      <c r="CZ62" s="113"/>
    </row>
    <row r="63" spans="1:104">
      <c r="A63">
        <v>61</v>
      </c>
      <c r="B63" s="76">
        <v>39448</v>
      </c>
      <c r="C63" s="14" t="str">
        <f t="shared" si="0"/>
        <v>Enero</v>
      </c>
      <c r="D63" s="14">
        <f t="shared" si="19"/>
        <v>2008</v>
      </c>
      <c r="E63" s="15">
        <f t="shared" si="1"/>
        <v>107235.74452082052</v>
      </c>
      <c r="F63" s="15">
        <f t="shared" si="59"/>
        <v>4363.0665456320312</v>
      </c>
      <c r="G63" s="56">
        <v>1034.4158915</v>
      </c>
      <c r="H63" s="4">
        <f t="shared" si="20"/>
        <v>0.96461855710729127</v>
      </c>
      <c r="I63" s="4">
        <f>SUMIFS($G$3:$G63,$D$3:$D63,D63)</f>
        <v>1034.4158915</v>
      </c>
      <c r="J63" s="2">
        <f t="shared" si="27"/>
        <v>11062.310803591001</v>
      </c>
      <c r="K63" s="95">
        <f t="shared" si="34"/>
        <v>0.31861325735612844</v>
      </c>
      <c r="L63" s="95">
        <f t="shared" si="35"/>
        <v>0.31861325735612844</v>
      </c>
      <c r="M63" s="95">
        <f t="shared" si="50"/>
        <v>0.16007424161053052</v>
      </c>
      <c r="N63" s="4">
        <v>632.44239380300007</v>
      </c>
      <c r="O63" s="4">
        <f t="shared" si="3"/>
        <v>0.58976826862073706</v>
      </c>
      <c r="P63" s="4">
        <f>SUMIFS($N$3:$N63,$D$3:$D63,D63)</f>
        <v>632.44239380300007</v>
      </c>
      <c r="Q63" s="4">
        <f t="shared" si="61"/>
        <v>7097.787630674</v>
      </c>
      <c r="R63" s="97">
        <f t="shared" si="36"/>
        <v>0.14304959057023714</v>
      </c>
      <c r="S63" s="97">
        <f t="shared" si="37"/>
        <v>0.14304959057023714</v>
      </c>
      <c r="T63" s="97">
        <f t="shared" si="51"/>
        <v>0.11723104366654047</v>
      </c>
      <c r="U63" s="4">
        <v>254.25466422899999</v>
      </c>
      <c r="V63" s="4">
        <f t="shared" si="28"/>
        <v>3192.4573624149998</v>
      </c>
      <c r="W63" s="97">
        <f t="shared" si="56"/>
        <v>0.13273829211710408</v>
      </c>
      <c r="X63" s="97">
        <f t="shared" si="38"/>
        <v>7.5910329691504019E-2</v>
      </c>
      <c r="Y63" s="4">
        <v>361.69210985199993</v>
      </c>
      <c r="Z63" s="4">
        <f t="shared" si="29"/>
        <v>3890.7635196463325</v>
      </c>
      <c r="AA63" s="97">
        <f t="shared" si="57"/>
        <v>0.10373740050640046</v>
      </c>
      <c r="AB63" s="97">
        <f t="shared" si="39"/>
        <v>0.16892017959812011</v>
      </c>
      <c r="AC63" s="4">
        <v>4.6688071980000005</v>
      </c>
      <c r="AD63" s="4">
        <f t="shared" si="4"/>
        <v>4.3537788811579712E-3</v>
      </c>
      <c r="AE63" s="4">
        <v>232.48025207299997</v>
      </c>
      <c r="AF63" s="4">
        <f t="shared" si="5"/>
        <v>0.21679361961986698</v>
      </c>
      <c r="AG63" s="4">
        <v>164.82443842599997</v>
      </c>
      <c r="AH63" s="4">
        <f t="shared" si="6"/>
        <v>37.777200210482604</v>
      </c>
      <c r="AI63" s="4">
        <v>122.84667638400001</v>
      </c>
      <c r="AJ63" s="4">
        <f t="shared" si="7"/>
        <v>17.667840838529635</v>
      </c>
      <c r="AK63" s="101">
        <f>SUMIFS($AJ$3:$AJ63,$D$3:$D63,D63)</f>
        <v>17.667840838529635</v>
      </c>
      <c r="AL63" s="4">
        <v>0</v>
      </c>
      <c r="AM63" s="4">
        <f t="shared" si="8"/>
        <v>0</v>
      </c>
      <c r="AN63" s="101">
        <f>SUMIFS($AM$3:$AM63,$D$3:$D63,D63)</f>
        <v>0</v>
      </c>
      <c r="AO63" s="4">
        <f t="shared" si="21"/>
        <v>41.977762041999966</v>
      </c>
      <c r="AP63" s="56">
        <v>611.14059862300007</v>
      </c>
      <c r="AQ63" s="4">
        <f t="shared" si="9"/>
        <v>0.569903814585204</v>
      </c>
      <c r="AR63" s="4">
        <f>SUMIFS($AP$3:$AP63,$D$3:$D63,D63)</f>
        <v>611.14059862300007</v>
      </c>
      <c r="AS63" s="4">
        <f t="shared" si="30"/>
        <v>8654.2950058749993</v>
      </c>
      <c r="AT63" s="97">
        <f t="shared" si="40"/>
        <v>0.12924381646422023</v>
      </c>
      <c r="AU63" s="97">
        <f t="shared" si="41"/>
        <v>0.12924381646422023</v>
      </c>
      <c r="AV63" s="98">
        <f t="shared" si="65"/>
        <v>0.12887921697607063</v>
      </c>
      <c r="AW63" s="4">
        <v>380.89507216900006</v>
      </c>
      <c r="AX63" s="4">
        <f>SUMIFS($AW$3:$AW63,$D$3:$D63,D63)</f>
        <v>380.89507216900006</v>
      </c>
      <c r="AY63" s="4">
        <f t="shared" si="31"/>
        <v>4502.7772153149999</v>
      </c>
      <c r="AZ63" s="97">
        <f t="shared" si="42"/>
        <v>0.24527993700192208</v>
      </c>
      <c r="BA63" s="97">
        <f t="shared" si="43"/>
        <v>0.24527993700192208</v>
      </c>
      <c r="BB63" s="97">
        <f t="shared" si="58"/>
        <v>0.1514340348505463</v>
      </c>
      <c r="BC63" s="4">
        <v>297.01996123599997</v>
      </c>
      <c r="BD63" s="4">
        <f t="shared" si="22"/>
        <v>83.875110933000087</v>
      </c>
      <c r="BE63" s="4">
        <v>7.254340634000001</v>
      </c>
      <c r="BF63" s="4">
        <v>79.289413317999987</v>
      </c>
      <c r="BG63" s="4">
        <f t="shared" si="10"/>
        <v>11.403423974645444</v>
      </c>
      <c r="BH63" s="4">
        <f>Datos1[[#This Row],[Intereses]]/Datos1[[#This Row],[PIB nominal (miles de millones de G.)]]*100</f>
        <v>7.3939350794179848E-2</v>
      </c>
      <c r="BI63" s="4">
        <v>37.384915192999998</v>
      </c>
      <c r="BJ63" s="4">
        <v>104.31244107500001</v>
      </c>
      <c r="BK63" s="4">
        <v>2.0044162340000002</v>
      </c>
      <c r="BL63" s="56">
        <f t="shared" si="60"/>
        <v>423.27529287699997</v>
      </c>
      <c r="BM63" s="56">
        <f>SUMIFS($BL$3:$BL63,$D$3:$D63,D63)</f>
        <v>423.27529287699997</v>
      </c>
      <c r="BN63" s="56">
        <f t="shared" si="62"/>
        <v>2408.0157977160006</v>
      </c>
      <c r="BO63" s="100">
        <f t="shared" si="44"/>
        <v>0.73988321696988812</v>
      </c>
      <c r="BP63" s="100">
        <f t="shared" si="45"/>
        <v>0.73988321696988812</v>
      </c>
      <c r="BQ63" s="100">
        <f t="shared" si="53"/>
        <v>0.2879895617782644</v>
      </c>
      <c r="BR63" s="2">
        <f t="shared" si="12"/>
        <v>0.39471474252208721</v>
      </c>
      <c r="BS63" s="2">
        <f>+Datos1[[#This Row],[RON acumulado 12 meses]]/Datos1[[#This Row],[PIB nominal (miles de millones de G.)]]*100</f>
        <v>2.2455346474966364</v>
      </c>
      <c r="BT63" s="56">
        <v>23.030523555999999</v>
      </c>
      <c r="BU63" s="56">
        <f>SUMIFS($BT$3:$BT63,$D$3:$D63,D63)</f>
        <v>23.030523555999999</v>
      </c>
      <c r="BV63" s="56">
        <f t="shared" si="32"/>
        <v>1466.1812637909998</v>
      </c>
      <c r="BW63" s="100">
        <f t="shared" si="46"/>
        <v>-0.72728629721121729</v>
      </c>
      <c r="BX63" s="100">
        <f t="shared" si="47"/>
        <v>-0.72728629721121729</v>
      </c>
      <c r="BY63" s="100">
        <f t="shared" si="54"/>
        <v>-0.11217831386109012</v>
      </c>
      <c r="BZ63" s="56">
        <f t="shared" si="13"/>
        <v>3.312255867171443</v>
      </c>
      <c r="CA63" s="56">
        <f>Datos1[[#This Row],[Adquisición Neta de Activos no Financieros]]/Datos1[[#This Row],[PIB nominal (miles de millones de G.)]]*100</f>
        <v>2.1476536260284434E-2</v>
      </c>
      <c r="CB63" s="56">
        <f>+Datos1[[#This Row],[ANANF acumulado por año]]/Datos1[[#This Row],[PIB nominal (miles de millones de G.)]]*100</f>
        <v>2.1476536260284434E-2</v>
      </c>
      <c r="CC63" s="56">
        <f>+Datos1[[#This Row],[ANANF acumulado 12 meses]]/Datos1[[#This Row],[PIB nominal (miles de millones de G.)]]*100</f>
        <v>1.3672505099326568</v>
      </c>
      <c r="CD63" s="4">
        <v>15.160741663</v>
      </c>
      <c r="CE63" s="4">
        <f t="shared" si="14"/>
        <v>2.1804217955288192</v>
      </c>
      <c r="CF63" s="4">
        <f t="shared" si="15"/>
        <v>7.869781892999999</v>
      </c>
      <c r="CG63" s="4">
        <f t="shared" si="16"/>
        <v>1.1318340716426236</v>
      </c>
      <c r="CH63" s="56">
        <f t="shared" si="17"/>
        <v>400.24476932099998</v>
      </c>
      <c r="CI63" s="56">
        <f>SUMIFS($CH$3:$CH63,$D$3:$D63,D63)</f>
        <v>400.24476932099998</v>
      </c>
      <c r="CJ63" s="56">
        <f t="shared" si="63"/>
        <v>941.83453392500041</v>
      </c>
      <c r="CK63" s="56">
        <f>Datos1[[#This Row],[Resultado Fiscal (miles de millones de G.)]]*1000/$F$207</f>
        <v>57.563306464337117</v>
      </c>
      <c r="CL63" s="56">
        <f t="shared" si="33"/>
        <v>135.45488678589047</v>
      </c>
      <c r="CM63" s="100">
        <f t="shared" si="48"/>
        <v>1.5199802271246328</v>
      </c>
      <c r="CN63" s="100">
        <f t="shared" si="49"/>
        <v>1.5199802271246328</v>
      </c>
      <c r="CO63" s="100">
        <f t="shared" si="55"/>
        <v>3.3172526358771117</v>
      </c>
      <c r="CP63" s="4">
        <f t="shared" si="18"/>
        <v>0.37323820626180282</v>
      </c>
      <c r="CQ63" s="4">
        <f t="shared" si="64"/>
        <v>0.87828413756397916</v>
      </c>
      <c r="CR63" s="73">
        <v>410.506792738</v>
      </c>
      <c r="CS63" s="113">
        <f>SUM(Datos1[[#This Row],[FFPP]:[MTESS]])</f>
        <v>0</v>
      </c>
      <c r="CT63" s="113"/>
      <c r="CU63" s="113"/>
      <c r="CV63" s="113"/>
      <c r="CW63" s="113"/>
      <c r="CX63" s="113"/>
      <c r="CY63" s="113"/>
      <c r="CZ63" s="113"/>
    </row>
    <row r="64" spans="1:104">
      <c r="A64">
        <v>62</v>
      </c>
      <c r="B64" s="3">
        <v>39479</v>
      </c>
      <c r="C64" s="14" t="str">
        <f t="shared" si="0"/>
        <v>Febrero</v>
      </c>
      <c r="D64" s="14">
        <f t="shared" si="19"/>
        <v>2008</v>
      </c>
      <c r="E64" s="15">
        <f t="shared" si="1"/>
        <v>107235.74452082052</v>
      </c>
      <c r="F64" s="15">
        <f t="shared" si="59"/>
        <v>4363.0665456320312</v>
      </c>
      <c r="G64" s="56">
        <v>1014.461690237</v>
      </c>
      <c r="H64" s="4">
        <f t="shared" si="20"/>
        <v>0.94601076793012395</v>
      </c>
      <c r="I64" s="4">
        <f>SUMIFS($G$3:$G64,$D$3:$D64,D64)</f>
        <v>2048.8775817370001</v>
      </c>
      <c r="J64" s="2">
        <f t="shared" si="27"/>
        <v>11445.916812646001</v>
      </c>
      <c r="K64" s="95">
        <f t="shared" si="34"/>
        <v>0.44763423128791913</v>
      </c>
      <c r="L64" s="95">
        <f t="shared" si="35"/>
        <v>0.60807252830989555</v>
      </c>
      <c r="M64" s="95">
        <f t="shared" si="50"/>
        <v>0.20936735640236814</v>
      </c>
      <c r="N64" s="4">
        <v>679.00750469399998</v>
      </c>
      <c r="O64" s="4">
        <f t="shared" si="3"/>
        <v>0.63319139315731265</v>
      </c>
      <c r="P64" s="4">
        <f>SUMIFS($N$3:$N64,$D$3:$D64,D64)</f>
        <v>1311.449898497</v>
      </c>
      <c r="Q64" s="4">
        <f t="shared" si="61"/>
        <v>7363.5881504130011</v>
      </c>
      <c r="R64" s="97">
        <f t="shared" si="36"/>
        <v>0.6432624070184747</v>
      </c>
      <c r="S64" s="97">
        <f t="shared" si="37"/>
        <v>0.35690498140326232</v>
      </c>
      <c r="T64" s="97">
        <f t="shared" si="51"/>
        <v>0.16335626532023895</v>
      </c>
      <c r="U64" s="4">
        <v>207.237497784</v>
      </c>
      <c r="V64" s="4">
        <f t="shared" si="28"/>
        <v>3216.2244671559997</v>
      </c>
      <c r="W64" s="97">
        <f t="shared" si="56"/>
        <v>0.14254130383136321</v>
      </c>
      <c r="X64" s="97">
        <f t="shared" si="38"/>
        <v>0.12954190780759767</v>
      </c>
      <c r="Y64" s="4">
        <v>375.90416938000004</v>
      </c>
      <c r="Z64" s="4">
        <f t="shared" si="29"/>
        <v>4003.6427963016658</v>
      </c>
      <c r="AA64" s="97">
        <f t="shared" si="57"/>
        <v>0.13505430229831861</v>
      </c>
      <c r="AB64" s="97">
        <f t="shared" si="39"/>
        <v>0.42915815110129119</v>
      </c>
      <c r="AC64" s="4">
        <v>44.068689699000004</v>
      </c>
      <c r="AD64" s="4">
        <f t="shared" si="4"/>
        <v>4.1095149659210677E-2</v>
      </c>
      <c r="AE64" s="4">
        <v>46.107031662000004</v>
      </c>
      <c r="AF64" s="4">
        <f t="shared" si="5"/>
        <v>4.2995954257629108E-2</v>
      </c>
      <c r="AG64" s="4">
        <v>245.27846418200002</v>
      </c>
      <c r="AH64" s="4">
        <f t="shared" si="6"/>
        <v>56.216989041240751</v>
      </c>
      <c r="AI64" s="4">
        <v>121.963683336</v>
      </c>
      <c r="AJ64" s="4">
        <f t="shared" si="7"/>
        <v>17.540848549500772</v>
      </c>
      <c r="AK64" s="101">
        <f>SUMIFS($AJ$3:$AJ64,$D$3:$D64,D64)</f>
        <v>35.208689388030407</v>
      </c>
      <c r="AL64" s="4">
        <v>46.9</v>
      </c>
      <c r="AM64" s="4">
        <f t="shared" si="8"/>
        <v>6.7451701561456536</v>
      </c>
      <c r="AN64" s="101">
        <f>SUMIFS($AM$3:$AM64,$D$3:$D64,D64)</f>
        <v>6.7451701561456536</v>
      </c>
      <c r="AO64" s="4">
        <f t="shared" si="21"/>
        <v>76.414780846000014</v>
      </c>
      <c r="AP64" s="56">
        <v>684.33390082099993</v>
      </c>
      <c r="AQ64" s="4">
        <f t="shared" si="9"/>
        <v>0.63815839007685726</v>
      </c>
      <c r="AR64" s="4">
        <f>SUMIFS($AP$3:$AP64,$D$3:$D64,D64)</f>
        <v>1295.474499444</v>
      </c>
      <c r="AS64" s="4">
        <f t="shared" si="30"/>
        <v>8779.4195208500005</v>
      </c>
      <c r="AT64" s="97">
        <f t="shared" si="40"/>
        <v>0.22375253016489571</v>
      </c>
      <c r="AU64" s="97">
        <f t="shared" si="41"/>
        <v>0.17727177969115115</v>
      </c>
      <c r="AV64" s="98">
        <f t="shared" si="65"/>
        <v>0.13434760711777649</v>
      </c>
      <c r="AW64" s="4">
        <v>402.51415779199988</v>
      </c>
      <c r="AX64" s="4">
        <f>SUMIFS($AW$3:$AW64,$D$3:$D64,D64)</f>
        <v>783.40922996099994</v>
      </c>
      <c r="AY64" s="4">
        <f t="shared" si="31"/>
        <v>4572.5596420999991</v>
      </c>
      <c r="AZ64" s="97">
        <f t="shared" si="42"/>
        <v>0.20972579493337173</v>
      </c>
      <c r="BA64" s="97">
        <f t="shared" si="43"/>
        <v>0.22675513295915639</v>
      </c>
      <c r="BB64" s="97">
        <f t="shared" si="58"/>
        <v>0.15804569778272581</v>
      </c>
      <c r="BC64" s="4">
        <v>298.01379636000001</v>
      </c>
      <c r="BD64" s="4">
        <f t="shared" si="22"/>
        <v>104.50036143199986</v>
      </c>
      <c r="BE64" s="4">
        <v>25.182944811999999</v>
      </c>
      <c r="BF64" s="4">
        <v>19.612745175000001</v>
      </c>
      <c r="BG64" s="4">
        <f t="shared" si="10"/>
        <v>2.8207100945522319</v>
      </c>
      <c r="BH64" s="4">
        <f>Datos1[[#This Row],[Intereses]]/Datos1[[#This Row],[PIB nominal (miles de millones de G.)]]*100</f>
        <v>1.828937287901429E-2</v>
      </c>
      <c r="BI64" s="4">
        <v>111.50272481399999</v>
      </c>
      <c r="BJ64" s="4">
        <v>108.57176137</v>
      </c>
      <c r="BK64" s="4">
        <v>16.949566858000001</v>
      </c>
      <c r="BL64" s="56">
        <f t="shared" si="60"/>
        <v>330.12778941600004</v>
      </c>
      <c r="BM64" s="56">
        <f>SUMIFS($BL$3:$BL64,$D$3:$D64,D64)</f>
        <v>753.40308229300001</v>
      </c>
      <c r="BN64" s="56">
        <f t="shared" si="62"/>
        <v>2666.4972917960004</v>
      </c>
      <c r="BO64" s="100">
        <f t="shared" si="44"/>
        <v>3.6077440273471035</v>
      </c>
      <c r="BP64" s="100">
        <f t="shared" si="45"/>
        <v>1.3923308426013055</v>
      </c>
      <c r="BQ64" s="100">
        <f t="shared" si="53"/>
        <v>0.54600729921710989</v>
      </c>
      <c r="BR64" s="2">
        <f t="shared" si="12"/>
        <v>0.30785237785326663</v>
      </c>
      <c r="BS64" s="2">
        <f>+Datos1[[#This Row],[RON acumulado 12 meses]]/Datos1[[#This Row],[PIB nominal (miles de millones de G.)]]*100</f>
        <v>2.4865750722496105</v>
      </c>
      <c r="BT64" s="56">
        <v>31.266086548999997</v>
      </c>
      <c r="BU64" s="56">
        <f>SUMIFS($BT$3:$BT64,$D$3:$D64,D64)</f>
        <v>54.296610104999999</v>
      </c>
      <c r="BV64" s="56">
        <f t="shared" si="32"/>
        <v>1481.316121565</v>
      </c>
      <c r="BW64" s="100">
        <f t="shared" si="46"/>
        <v>0.93823340956244028</v>
      </c>
      <c r="BX64" s="100">
        <f t="shared" si="47"/>
        <v>-0.46016861192520375</v>
      </c>
      <c r="BY64" s="100">
        <f t="shared" si="54"/>
        <v>-9.5879096690600463E-2</v>
      </c>
      <c r="BZ64" s="56">
        <f t="shared" si="13"/>
        <v>4.49669667142392</v>
      </c>
      <c r="CA64" s="56">
        <f>Datos1[[#This Row],[Adquisición Neta de Activos no Financieros]]/Datos1[[#This Row],[PIB nominal (miles de millones de G.)]]*100</f>
        <v>2.915640366811598E-2</v>
      </c>
      <c r="CB64" s="56">
        <f>+Datos1[[#This Row],[ANANF acumulado por año]]/Datos1[[#This Row],[PIB nominal (miles de millones de G.)]]*100</f>
        <v>5.0632939928400421E-2</v>
      </c>
      <c r="CC64" s="56">
        <f>+Datos1[[#This Row],[ANANF acumulado 12 meses]]/Datos1[[#This Row],[PIB nominal (miles de millones de G.)]]*100</f>
        <v>1.3813641413916726</v>
      </c>
      <c r="CD64" s="4">
        <v>15.575192763000002</v>
      </c>
      <c r="CE64" s="4">
        <f t="shared" si="14"/>
        <v>2.2400282601535904</v>
      </c>
      <c r="CF64" s="4">
        <f t="shared" si="15"/>
        <v>15.690893785999995</v>
      </c>
      <c r="CG64" s="4">
        <f t="shared" si="16"/>
        <v>2.2566684112703297</v>
      </c>
      <c r="CH64" s="56">
        <f t="shared" si="17"/>
        <v>298.86170286700002</v>
      </c>
      <c r="CI64" s="56">
        <f>SUMIFS($CH$3:$CH64,$D$3:$D64,D64)</f>
        <v>699.106472188</v>
      </c>
      <c r="CJ64" s="56">
        <f t="shared" si="63"/>
        <v>1185.1811702310006</v>
      </c>
      <c r="CK64" s="56">
        <f>Datos1[[#This Row],[Resultado Fiscal (miles de millones de G.)]]*1000/$F$207</f>
        <v>42.982367569154768</v>
      </c>
      <c r="CL64" s="56">
        <f t="shared" si="33"/>
        <v>170.45306309313276</v>
      </c>
      <c r="CM64" s="100">
        <f t="shared" si="48"/>
        <v>4.3834341086236694</v>
      </c>
      <c r="CN64" s="100">
        <f t="shared" si="49"/>
        <v>2.2616157655402862</v>
      </c>
      <c r="CO64" s="100">
        <f t="shared" si="55"/>
        <v>12.723917248514276</v>
      </c>
      <c r="CP64" s="4">
        <f t="shared" si="18"/>
        <v>0.27869597418515063</v>
      </c>
      <c r="CQ64" s="4">
        <f t="shared" si="64"/>
        <v>1.1052109308579379</v>
      </c>
      <c r="CR64" s="73">
        <v>429.30756061099999</v>
      </c>
      <c r="CS64" s="113">
        <f>SUM(Datos1[[#This Row],[FFPP]:[MTESS]])</f>
        <v>0</v>
      </c>
      <c r="CT64" s="113"/>
      <c r="CU64" s="113"/>
      <c r="CV64" s="113"/>
      <c r="CW64" s="113"/>
      <c r="CX64" s="113"/>
      <c r="CY64" s="113"/>
      <c r="CZ64" s="113"/>
    </row>
    <row r="65" spans="1:104">
      <c r="A65">
        <v>63</v>
      </c>
      <c r="B65" s="3">
        <v>39508</v>
      </c>
      <c r="C65" s="14" t="str">
        <f t="shared" si="0"/>
        <v>Marzo</v>
      </c>
      <c r="D65" s="14">
        <f t="shared" si="19"/>
        <v>2008</v>
      </c>
      <c r="E65" s="15">
        <f t="shared" si="1"/>
        <v>107235.74452082052</v>
      </c>
      <c r="F65" s="15">
        <f t="shared" si="59"/>
        <v>4363.0665456320312</v>
      </c>
      <c r="G65" s="56">
        <v>992.9383303149998</v>
      </c>
      <c r="H65" s="4">
        <f t="shared" si="20"/>
        <v>0.92593969925971309</v>
      </c>
      <c r="I65" s="4">
        <f>SUMIFS($G$3:$G65,$D$3:$D65,D65)</f>
        <v>3041.8159120519999</v>
      </c>
      <c r="J65" s="2">
        <f t="shared" si="27"/>
        <v>11382.552703886002</v>
      </c>
      <c r="K65" s="95">
        <f t="shared" si="34"/>
        <v>0.23069193174942004</v>
      </c>
      <c r="L65" s="95">
        <f t="shared" si="35"/>
        <v>-5.9986710638941676E-2</v>
      </c>
      <c r="M65" s="95">
        <f t="shared" si="50"/>
        <v>0.16441693242145283</v>
      </c>
      <c r="N65" s="4">
        <v>559.97745219599983</v>
      </c>
      <c r="O65" s="4">
        <f t="shared" si="3"/>
        <v>0.52219290750322211</v>
      </c>
      <c r="P65" s="4">
        <f>SUMIFS($N$3:$N65,$D$3:$D65,D65)</f>
        <v>1871.4273506929999</v>
      </c>
      <c r="Q65" s="4">
        <f t="shared" si="61"/>
        <v>7355.8802996570003</v>
      </c>
      <c r="R65" s="97">
        <f t="shared" si="36"/>
        <v>-1.3577682416505921E-2</v>
      </c>
      <c r="S65" s="97">
        <f t="shared" si="37"/>
        <v>0.21981760468487654</v>
      </c>
      <c r="T65" s="97">
        <f t="shared" si="51"/>
        <v>0.15112905869906457</v>
      </c>
      <c r="U65" s="4">
        <v>219.81453538999997</v>
      </c>
      <c r="V65" s="4">
        <f t="shared" si="28"/>
        <v>3259.7550472869998</v>
      </c>
      <c r="W65" s="97">
        <f t="shared" si="56"/>
        <v>0.17734142336479941</v>
      </c>
      <c r="X65" s="97">
        <f t="shared" si="38"/>
        <v>0.24693444203157311</v>
      </c>
      <c r="Y65" s="4">
        <v>326.04844308599996</v>
      </c>
      <c r="Z65" s="4">
        <f t="shared" si="29"/>
        <v>3991.6770990419986</v>
      </c>
      <c r="AA65" s="97">
        <f t="shared" si="57"/>
        <v>0.11048603064563367</v>
      </c>
      <c r="AB65" s="97">
        <f t="shared" si="39"/>
        <v>-3.5399990211740895E-2</v>
      </c>
      <c r="AC65" s="4">
        <v>165.70788527900001</v>
      </c>
      <c r="AD65" s="4">
        <f t="shared" si="4"/>
        <v>0.15452672615783142</v>
      </c>
      <c r="AE65" s="4">
        <v>57.685102975</v>
      </c>
      <c r="AF65" s="4">
        <f t="shared" si="5"/>
        <v>5.3792793841982468E-2</v>
      </c>
      <c r="AG65" s="4">
        <v>209.56788986500001</v>
      </c>
      <c r="AH65" s="4">
        <f t="shared" si="6"/>
        <v>48.032246969692302</v>
      </c>
      <c r="AI65" s="4">
        <v>122.53881230099999</v>
      </c>
      <c r="AJ65" s="4">
        <f t="shared" si="7"/>
        <v>17.6235637463164</v>
      </c>
      <c r="AK65" s="101">
        <f>SUMIFS($AJ$3:$AJ65,$D$3:$D65,D65)</f>
        <v>52.832253134346807</v>
      </c>
      <c r="AL65" s="4">
        <v>46</v>
      </c>
      <c r="AM65" s="4">
        <f t="shared" si="8"/>
        <v>6.6157319228720697</v>
      </c>
      <c r="AN65" s="101">
        <f>SUMIFS($AM$3:$AM65,$D$3:$D65,D65)</f>
        <v>13.360902079017723</v>
      </c>
      <c r="AO65" s="4">
        <f t="shared" si="21"/>
        <v>41.029077564000019</v>
      </c>
      <c r="AP65" s="56">
        <v>847.81760941599998</v>
      </c>
      <c r="AQ65" s="4">
        <f t="shared" si="9"/>
        <v>0.79061101613500762</v>
      </c>
      <c r="AR65" s="4">
        <f>SUMIFS($AP$3:$AP65,$D$3:$D65,D65)</f>
        <v>2143.2921088600001</v>
      </c>
      <c r="AS65" s="4">
        <f t="shared" si="30"/>
        <v>8997.2055044469998</v>
      </c>
      <c r="AT65" s="97">
        <f t="shared" si="40"/>
        <v>0.34567468468569706</v>
      </c>
      <c r="AU65" s="97">
        <f t="shared" si="41"/>
        <v>0.23858533473027355</v>
      </c>
      <c r="AV65" s="98">
        <f t="shared" si="65"/>
        <v>0.14960605267076521</v>
      </c>
      <c r="AW65" s="4">
        <v>404.37226482199992</v>
      </c>
      <c r="AX65" s="4">
        <f>SUMIFS($AW$3:$AW65,$D$3:$D65,D65)</f>
        <v>1187.7814947829997</v>
      </c>
      <c r="AY65" s="4">
        <f t="shared" si="31"/>
        <v>4652.0604239859995</v>
      </c>
      <c r="AZ65" s="97">
        <f t="shared" si="42"/>
        <v>0.24471455963914712</v>
      </c>
      <c r="BA65" s="97">
        <f t="shared" si="43"/>
        <v>0.23281082727685343</v>
      </c>
      <c r="BB65" s="97">
        <f t="shared" si="58"/>
        <v>0.16874064614100104</v>
      </c>
      <c r="BC65" s="4">
        <v>298.82184760500002</v>
      </c>
      <c r="BD65" s="4">
        <f t="shared" si="22"/>
        <v>105.5504172169999</v>
      </c>
      <c r="BE65" s="4">
        <v>65.829090278999999</v>
      </c>
      <c r="BF65" s="4">
        <v>49.415498023000005</v>
      </c>
      <c r="BG65" s="4">
        <f t="shared" si="10"/>
        <v>7.1069497338126695</v>
      </c>
      <c r="BH65" s="4">
        <f>Datos1[[#This Row],[Intereses]]/Datos1[[#This Row],[PIB nominal (miles de millones de G.)]]*100</f>
        <v>4.6081181460353143E-2</v>
      </c>
      <c r="BI65" s="4">
        <v>135.91585269100003</v>
      </c>
      <c r="BJ65" s="4">
        <v>114.36137784799998</v>
      </c>
      <c r="BK65" s="4">
        <v>77.923525753000007</v>
      </c>
      <c r="BL65" s="56">
        <f t="shared" si="60"/>
        <v>145.12072089899982</v>
      </c>
      <c r="BM65" s="56">
        <f>SUMIFS($BL$3:$BL65,$D$3:$D65,D65)</f>
        <v>898.52380319199983</v>
      </c>
      <c r="BN65" s="56">
        <f t="shared" si="62"/>
        <v>2385.3471994390011</v>
      </c>
      <c r="BO65" s="100">
        <f t="shared" si="44"/>
        <v>-0.65955745412049471</v>
      </c>
      <c r="BP65" s="100">
        <f t="shared" si="45"/>
        <v>0.21226355137762343</v>
      </c>
      <c r="BQ65" s="100">
        <f t="shared" si="53"/>
        <v>0.22389142489998837</v>
      </c>
      <c r="BR65" s="2">
        <f t="shared" si="12"/>
        <v>0.13532868312470539</v>
      </c>
      <c r="BS65" s="2">
        <f>+Datos1[[#This Row],[RON acumulado 12 meses]]/Datos1[[#This Row],[PIB nominal (miles de millones de G.)]]*100</f>
        <v>2.2243956155644264</v>
      </c>
      <c r="BT65" s="56">
        <v>53.593922126999999</v>
      </c>
      <c r="BU65" s="56">
        <f>SUMIFS($BT$3:$BT65,$D$3:$D65,D65)</f>
        <v>107.890532232</v>
      </c>
      <c r="BV65" s="56">
        <f t="shared" si="32"/>
        <v>1446.0899588059999</v>
      </c>
      <c r="BW65" s="100">
        <f t="shared" si="46"/>
        <v>-0.39660131831907786</v>
      </c>
      <c r="BX65" s="100">
        <f t="shared" si="47"/>
        <v>-0.43035853007767877</v>
      </c>
      <c r="BY65" s="100">
        <f t="shared" si="54"/>
        <v>-7.5679495316183676E-2</v>
      </c>
      <c r="BZ65" s="56">
        <f t="shared" si="13"/>
        <v>7.7078917714676889</v>
      </c>
      <c r="CA65" s="56">
        <f>Datos1[[#This Row],[Adquisición Neta de Activos no Financieros]]/Datos1[[#This Row],[PIB nominal (miles de millones de G.)]]*100</f>
        <v>4.9977665904668934E-2</v>
      </c>
      <c r="CB65" s="56">
        <f>+Datos1[[#This Row],[ANANF acumulado por año]]/Datos1[[#This Row],[PIB nominal (miles de millones de G.)]]*100</f>
        <v>0.10061060583306934</v>
      </c>
      <c r="CC65" s="56">
        <f>+Datos1[[#This Row],[ANANF acumulado 12 meses]]/Datos1[[#This Row],[PIB nominal (miles de millones de G.)]]*100</f>
        <v>1.348514868123317</v>
      </c>
      <c r="CD65" s="4">
        <v>21.664072748999999</v>
      </c>
      <c r="CE65" s="4">
        <f t="shared" si="14"/>
        <v>3.1157325579343951</v>
      </c>
      <c r="CF65" s="4">
        <f t="shared" si="15"/>
        <v>31.929849378</v>
      </c>
      <c r="CG65" s="4">
        <f t="shared" si="16"/>
        <v>4.5921592135332938</v>
      </c>
      <c r="CH65" s="56">
        <f t="shared" si="17"/>
        <v>91.526798771999822</v>
      </c>
      <c r="CI65" s="56">
        <f>SUMIFS($CH$3:$CH65,$D$3:$D65,D65)</f>
        <v>790.63327095999978</v>
      </c>
      <c r="CJ65" s="56">
        <f t="shared" si="63"/>
        <v>939.25724063300015</v>
      </c>
      <c r="CK65" s="56">
        <f>Datos1[[#This Row],[Resultado Fiscal (miles de millones de G.)]]*1000/$F$207</f>
        <v>13.163407922482769</v>
      </c>
      <c r="CL65" s="56">
        <f t="shared" si="33"/>
        <v>135.08421979661901</v>
      </c>
      <c r="CM65" s="100">
        <f t="shared" si="48"/>
        <v>-0.72876988823196531</v>
      </c>
      <c r="CN65" s="100">
        <f t="shared" si="49"/>
        <v>0.43284051167938276</v>
      </c>
      <c r="CO65" s="100">
        <f t="shared" si="55"/>
        <v>1.442825791213616</v>
      </c>
      <c r="CP65" s="4">
        <f t="shared" si="18"/>
        <v>8.5351017220036463E-2</v>
      </c>
      <c r="CQ65" s="4">
        <f t="shared" si="64"/>
        <v>0.87588074744110833</v>
      </c>
      <c r="CR65" s="73">
        <v>420.30763731799999</v>
      </c>
      <c r="CS65" s="113">
        <f>SUM(Datos1[[#This Row],[FFPP]:[MTESS]])</f>
        <v>0</v>
      </c>
      <c r="CT65" s="113"/>
      <c r="CU65" s="113"/>
      <c r="CV65" s="113"/>
      <c r="CW65" s="113"/>
      <c r="CX65" s="113"/>
      <c r="CY65" s="113"/>
      <c r="CZ65" s="113"/>
    </row>
    <row r="66" spans="1:104">
      <c r="A66">
        <v>64</v>
      </c>
      <c r="B66" s="3">
        <v>39539</v>
      </c>
      <c r="C66" s="14" t="str">
        <f t="shared" si="0"/>
        <v>Abril</v>
      </c>
      <c r="D66" s="14">
        <f t="shared" si="19"/>
        <v>2008</v>
      </c>
      <c r="E66" s="15">
        <f t="shared" si="1"/>
        <v>107235.74452082052</v>
      </c>
      <c r="F66" s="15">
        <f t="shared" si="59"/>
        <v>4363.0665456320312</v>
      </c>
      <c r="G66" s="56">
        <v>1052.792667809</v>
      </c>
      <c r="H66" s="4">
        <f t="shared" si="20"/>
        <v>0.98175535826544613</v>
      </c>
      <c r="I66" s="4">
        <f>SUMIFS($G$3:$G66,$D$3:$D66,D66)</f>
        <v>4094.6085798610002</v>
      </c>
      <c r="J66" s="2">
        <f t="shared" si="27"/>
        <v>11550.491753447001</v>
      </c>
      <c r="K66" s="95">
        <f t="shared" si="34"/>
        <v>0.2199099533626836</v>
      </c>
      <c r="L66" s="95">
        <f t="shared" si="35"/>
        <v>0.18979303027942351</v>
      </c>
      <c r="M66" s="95">
        <f t="shared" si="50"/>
        <v>0.18231037712268106</v>
      </c>
      <c r="N66" s="4">
        <v>807.30564953699991</v>
      </c>
      <c r="O66" s="4">
        <f t="shared" si="3"/>
        <v>0.75283260553131726</v>
      </c>
      <c r="P66" s="4">
        <f>SUMIFS($N$3:$N66,$D$3:$D66,D66)</f>
        <v>2678.7330002299996</v>
      </c>
      <c r="Q66" s="4">
        <f t="shared" si="61"/>
        <v>7518.228834339001</v>
      </c>
      <c r="R66" s="97">
        <f t="shared" si="36"/>
        <v>0.25171989104810377</v>
      </c>
      <c r="S66" s="97">
        <f t="shared" si="37"/>
        <v>0.22925966676184295</v>
      </c>
      <c r="T66" s="97">
        <f t="shared" si="51"/>
        <v>0.17409132285852191</v>
      </c>
      <c r="U66" s="4">
        <v>420.18343935699994</v>
      </c>
      <c r="V66" s="4">
        <f t="shared" si="28"/>
        <v>3338.3415954299994</v>
      </c>
      <c r="W66" s="97">
        <f t="shared" si="56"/>
        <v>0.22160069621602907</v>
      </c>
      <c r="X66" s="97">
        <f t="shared" si="38"/>
        <v>0.23005639150787194</v>
      </c>
      <c r="Y66" s="4">
        <v>371.90721236999997</v>
      </c>
      <c r="Z66" s="4">
        <f t="shared" si="29"/>
        <v>4060.5635050673322</v>
      </c>
      <c r="AA66" s="97">
        <f t="shared" si="57"/>
        <v>0.11372875688539796</v>
      </c>
      <c r="AB66" s="97">
        <f t="shared" si="39"/>
        <v>0.22733226426366104</v>
      </c>
      <c r="AC66" s="4">
        <v>42.079225582999996</v>
      </c>
      <c r="AD66" s="4">
        <f t="shared" si="4"/>
        <v>3.9239924869295832E-2</v>
      </c>
      <c r="AE66" s="4">
        <v>16.503338472999999</v>
      </c>
      <c r="AF66" s="4">
        <f t="shared" si="5"/>
        <v>1.5389773761300058E-2</v>
      </c>
      <c r="AG66" s="4">
        <v>186.904454216</v>
      </c>
      <c r="AH66" s="4">
        <f t="shared" si="6"/>
        <v>42.837864667252092</v>
      </c>
      <c r="AI66" s="4">
        <v>108.62129169900001</v>
      </c>
      <c r="AJ66" s="4">
        <f t="shared" si="7"/>
        <v>15.621942326014638</v>
      </c>
      <c r="AK66" s="101">
        <f>SUMIFS($AJ$3:$AJ66,$D$3:$D66,D66)</f>
        <v>68.454195460361447</v>
      </c>
      <c r="AL66" s="4">
        <v>43.8</v>
      </c>
      <c r="AM66" s="4">
        <f t="shared" si="8"/>
        <v>6.2993273526477536</v>
      </c>
      <c r="AN66" s="101">
        <f>SUMIFS($AM$3:$AM66,$D$3:$D66,D66)</f>
        <v>19.660229431665478</v>
      </c>
      <c r="AO66" s="4">
        <f t="shared" si="21"/>
        <v>34.483162516999997</v>
      </c>
      <c r="AP66" s="56">
        <v>805.66503268400015</v>
      </c>
      <c r="AQ66" s="4">
        <f t="shared" si="9"/>
        <v>0.75130268949415002</v>
      </c>
      <c r="AR66" s="4">
        <f>SUMIFS($AP$3:$AP66,$D$3:$D66,D66)</f>
        <v>2948.9571415440005</v>
      </c>
      <c r="AS66" s="4">
        <f t="shared" si="30"/>
        <v>9195.754447745001</v>
      </c>
      <c r="AT66" s="97">
        <f t="shared" si="40"/>
        <v>0.32703620735665306</v>
      </c>
      <c r="AU66" s="97">
        <f t="shared" si="41"/>
        <v>0.2615580668524049</v>
      </c>
      <c r="AV66" s="98">
        <f t="shared" si="65"/>
        <v>0.17021830448476294</v>
      </c>
      <c r="AW66" s="4">
        <v>397.92069704800008</v>
      </c>
      <c r="AX66" s="4">
        <f>SUMIFS($AW$3:$AW66,$D$3:$D66,D66)</f>
        <v>1585.7021918309997</v>
      </c>
      <c r="AY66" s="4">
        <f t="shared" si="31"/>
        <v>4714.9146383989992</v>
      </c>
      <c r="AZ66" s="97">
        <f t="shared" si="42"/>
        <v>0.18758729288202036</v>
      </c>
      <c r="BA66" s="97">
        <f t="shared" si="43"/>
        <v>0.22114165884075998</v>
      </c>
      <c r="BB66" s="97">
        <f t="shared" si="58"/>
        <v>0.17139273947883482</v>
      </c>
      <c r="BC66" s="4">
        <v>300.09446367700002</v>
      </c>
      <c r="BD66" s="4">
        <f t="shared" si="22"/>
        <v>97.826233371000058</v>
      </c>
      <c r="BE66" s="4">
        <v>70.889170491999991</v>
      </c>
      <c r="BF66" s="4">
        <v>35.592503491000002</v>
      </c>
      <c r="BG66" s="4">
        <f t="shared" si="10"/>
        <v>5.1189230773987893</v>
      </c>
      <c r="BH66" s="4">
        <f>Datos1[[#This Row],[Intereses]]/Datos1[[#This Row],[PIB nominal (miles de millones de G.)]]*100</f>
        <v>3.3190895116217041E-2</v>
      </c>
      <c r="BI66" s="4">
        <v>156.952720535</v>
      </c>
      <c r="BJ66" s="4">
        <v>111.25498790099999</v>
      </c>
      <c r="BK66" s="4">
        <v>33.054953217000005</v>
      </c>
      <c r="BL66" s="56">
        <f t="shared" si="60"/>
        <v>247.12763512499987</v>
      </c>
      <c r="BM66" s="56">
        <f>SUMIFS($BL$3:$BL66,$D$3:$D66,D66)</f>
        <v>1145.6514383169997</v>
      </c>
      <c r="BN66" s="56">
        <f t="shared" si="62"/>
        <v>2354.7373057020004</v>
      </c>
      <c r="BO66" s="100">
        <f t="shared" si="44"/>
        <v>-0.11021158668193276</v>
      </c>
      <c r="BP66" s="100">
        <f t="shared" si="45"/>
        <v>0.12436426785338894</v>
      </c>
      <c r="BQ66" s="100">
        <f t="shared" si="53"/>
        <v>0.23202668590468511</v>
      </c>
      <c r="BR66" s="2">
        <f t="shared" si="12"/>
        <v>0.23045266877129617</v>
      </c>
      <c r="BS66" s="2">
        <f>+Datos1[[#This Row],[RON acumulado 12 meses]]/Datos1[[#This Row],[PIB nominal (miles de millones de G.)]]*100</f>
        <v>2.1958511280208559</v>
      </c>
      <c r="BT66" s="56">
        <v>100.10283615999998</v>
      </c>
      <c r="BU66" s="56">
        <f>SUMIFS($BT$3:$BT66,$D$3:$D66,D66)</f>
        <v>207.99336839199998</v>
      </c>
      <c r="BV66" s="56">
        <f t="shared" si="32"/>
        <v>1466.1197084699998</v>
      </c>
      <c r="BW66" s="100">
        <f t="shared" si="46"/>
        <v>0.25014334454312026</v>
      </c>
      <c r="BX66" s="100">
        <f t="shared" si="47"/>
        <v>-0.22815009895926641</v>
      </c>
      <c r="BY66" s="100">
        <f t="shared" si="54"/>
        <v>-6.3705057726017866E-2</v>
      </c>
      <c r="BZ66" s="56">
        <f t="shared" si="13"/>
        <v>14.396815842472705</v>
      </c>
      <c r="CA66" s="56">
        <f>Datos1[[#This Row],[Adquisición Neta de Activos no Financieros]]/Datos1[[#This Row],[PIB nominal (miles de millones de G.)]]*100</f>
        <v>9.334838547287222E-2</v>
      </c>
      <c r="CB66" s="56">
        <f>+Datos1[[#This Row],[ANANF acumulado por año]]/Datos1[[#This Row],[PIB nominal (miles de millones de G.)]]*100</f>
        <v>0.19395899130594157</v>
      </c>
      <c r="CC66" s="56">
        <f>+Datos1[[#This Row],[ANANF acumulado 12 meses]]/Datos1[[#This Row],[PIB nominal (miles de millones de G.)]]*100</f>
        <v>1.3671931080642081</v>
      </c>
      <c r="CD66" s="4">
        <v>53.183486373000008</v>
      </c>
      <c r="CE66" s="4">
        <f t="shared" si="14"/>
        <v>7.648862794945388</v>
      </c>
      <c r="CF66" s="4">
        <f t="shared" si="15"/>
        <v>46.919349786999973</v>
      </c>
      <c r="CG66" s="4">
        <f t="shared" si="16"/>
        <v>6.7479530475273162</v>
      </c>
      <c r="CH66" s="56">
        <f t="shared" si="17"/>
        <v>147.02479896499989</v>
      </c>
      <c r="CI66" s="56">
        <f>SUMIFS($CH$3:$CH66,$D$3:$D66,D66)</f>
        <v>937.65806992499961</v>
      </c>
      <c r="CJ66" s="56">
        <f t="shared" si="63"/>
        <v>888.61759723200021</v>
      </c>
      <c r="CK66" s="56">
        <f>Datos1[[#This Row],[Resultado Fiscal (miles de millones de G.)]]*1000/$F$207</f>
        <v>21.145144694926046</v>
      </c>
      <c r="CL66" s="56">
        <f t="shared" si="33"/>
        <v>127.80121315725262</v>
      </c>
      <c r="CM66" s="100">
        <f t="shared" si="48"/>
        <v>-0.25618994896024139</v>
      </c>
      <c r="CN66" s="100">
        <f t="shared" si="49"/>
        <v>0.25111360862182819</v>
      </c>
      <c r="CO66" s="100">
        <f t="shared" si="55"/>
        <v>1.572738489151873</v>
      </c>
      <c r="CP66" s="4">
        <f t="shared" si="18"/>
        <v>0.13710428329842395</v>
      </c>
      <c r="CQ66" s="4">
        <f t="shared" si="64"/>
        <v>0.82865801995664723</v>
      </c>
      <c r="CR66" s="73">
        <v>416.81324312200002</v>
      </c>
      <c r="CS66" s="113">
        <f>SUM(Datos1[[#This Row],[FFPP]:[MTESS]])</f>
        <v>0</v>
      </c>
      <c r="CT66" s="113"/>
      <c r="CU66" s="113"/>
      <c r="CV66" s="113"/>
      <c r="CW66" s="113"/>
      <c r="CX66" s="113"/>
      <c r="CY66" s="113"/>
      <c r="CZ66" s="113"/>
    </row>
    <row r="67" spans="1:104">
      <c r="A67">
        <v>65</v>
      </c>
      <c r="B67" s="3">
        <v>39569</v>
      </c>
      <c r="C67" s="14" t="str">
        <f t="shared" ref="C67:C130" si="66">VLOOKUP(MONTH(B67),Meses,2,0)</f>
        <v>Mayo</v>
      </c>
      <c r="D67" s="14">
        <f t="shared" si="19"/>
        <v>2008</v>
      </c>
      <c r="E67" s="15">
        <f t="shared" ref="E67:E130" si="67">VLOOKUP(D67,PIBNOMG,2,0)</f>
        <v>107235.74452082052</v>
      </c>
      <c r="F67" s="15">
        <f t="shared" ref="F67:F98" si="68">VLOOKUP(D67,cambio,2,0)</f>
        <v>4363.0665456320312</v>
      </c>
      <c r="G67" s="56">
        <v>1183.3630319040003</v>
      </c>
      <c r="H67" s="4">
        <f t="shared" si="20"/>
        <v>1.1035154716291848</v>
      </c>
      <c r="I67" s="4">
        <f>SUMIFS($G$3:$G67,$D$3:$D67,D67)</f>
        <v>5277.9716117650005</v>
      </c>
      <c r="J67" s="2">
        <f t="shared" si="27"/>
        <v>11672.531770068001</v>
      </c>
      <c r="K67" s="95">
        <f t="shared" si="34"/>
        <v>0.19470390186176756</v>
      </c>
      <c r="L67" s="95">
        <f t="shared" si="35"/>
        <v>0.11498857074013258</v>
      </c>
      <c r="M67" s="95">
        <f t="shared" si="50"/>
        <v>0.17431912741414157</v>
      </c>
      <c r="N67" s="4">
        <v>873.9174724730002</v>
      </c>
      <c r="O67" s="4">
        <f t="shared" ref="O67:O130" si="69">N67/E67*100</f>
        <v>0.81494978785112393</v>
      </c>
      <c r="P67" s="4">
        <f>SUMIFS($N$3:$N67,$D$3:$D67,D67)</f>
        <v>3552.6504727029997</v>
      </c>
      <c r="Q67" s="4">
        <f t="shared" si="61"/>
        <v>7730.2676508960003</v>
      </c>
      <c r="R67" s="97">
        <f t="shared" si="36"/>
        <v>0.32035904868929665</v>
      </c>
      <c r="S67" s="97">
        <f t="shared" si="37"/>
        <v>0.25048327461250053</v>
      </c>
      <c r="T67" s="97">
        <f t="shared" si="51"/>
        <v>0.19270524678439704</v>
      </c>
      <c r="U67" s="4">
        <v>504.82807106190012</v>
      </c>
      <c r="V67" s="4">
        <f t="shared" si="28"/>
        <v>3470.4590211728996</v>
      </c>
      <c r="W67" s="97">
        <f t="shared" si="56"/>
        <v>0.23182062229233824</v>
      </c>
      <c r="X67" s="97">
        <f t="shared" si="38"/>
        <v>0.35447719940980504</v>
      </c>
      <c r="Y67" s="4">
        <v>387.19782036000004</v>
      </c>
      <c r="Z67" s="4">
        <f t="shared" si="29"/>
        <v>4132.4157017456655</v>
      </c>
      <c r="AA67" s="97">
        <f t="shared" si="57"/>
        <v>0.12392956943982081</v>
      </c>
      <c r="AB67" s="97">
        <f t="shared" si="39"/>
        <v>0.22785220812471607</v>
      </c>
      <c r="AC67" s="4">
        <v>96.586501780000006</v>
      </c>
      <c r="AD67" s="4">
        <f t="shared" ref="AD67:AD130" si="70">AC67/E67*100</f>
        <v>9.006931617026924E-2</v>
      </c>
      <c r="AE67" s="4">
        <v>42.904134490000004</v>
      </c>
      <c r="AF67" s="4">
        <f t="shared" ref="AF67:AF130" si="71">AE67/E67*100</f>
        <v>4.0009172950414763E-2</v>
      </c>
      <c r="AG67" s="4">
        <v>169.95492316100001</v>
      </c>
      <c r="AH67" s="4">
        <f t="shared" ref="AH67:AH130" si="72">AG67*1000/F67</f>
        <v>38.953089847127337</v>
      </c>
      <c r="AI67" s="4">
        <v>113.19774268499999</v>
      </c>
      <c r="AJ67" s="4">
        <f t="shared" ref="AJ67:AJ130" si="73">AI67*1000/$F$207</f>
        <v>16.280128693004627</v>
      </c>
      <c r="AK67" s="101">
        <f>SUMIFS($AJ$3:$AJ67,$D$3:$D67,D67)</f>
        <v>84.734324153366074</v>
      </c>
      <c r="AL67" s="4">
        <v>12.494814033999999</v>
      </c>
      <c r="AM67" s="4">
        <f t="shared" ref="AM67:AM130" si="74">AL67*1000/$F$207</f>
        <v>1.7970073929366031</v>
      </c>
      <c r="AN67" s="101">
        <f>SUMIFS($AM$3:$AM67,$D$3:$D67,D67)</f>
        <v>21.457236824602081</v>
      </c>
      <c r="AO67" s="4">
        <f t="shared" si="21"/>
        <v>44.262366442000015</v>
      </c>
      <c r="AP67" s="56">
        <v>672.71715304200006</v>
      </c>
      <c r="AQ67" s="4">
        <f t="shared" ref="AQ67:AQ130" si="75">+AP67/E67*100</f>
        <v>0.62732548372561325</v>
      </c>
      <c r="AR67" s="4">
        <f>SUMIFS($AP$3:$AP67,$D$3:$D67,D67)</f>
        <v>3621.6742945860005</v>
      </c>
      <c r="AS67" s="4">
        <f t="shared" si="30"/>
        <v>9215.1753561210007</v>
      </c>
      <c r="AT67" s="97">
        <f t="shared" si="40"/>
        <v>2.9727567752863893E-2</v>
      </c>
      <c r="AU67" s="97">
        <f t="shared" si="41"/>
        <v>0.21091891709869226</v>
      </c>
      <c r="AV67" s="98">
        <f t="shared" si="65"/>
        <v>0.16688092751045924</v>
      </c>
      <c r="AW67" s="4">
        <v>397.45385965099996</v>
      </c>
      <c r="AX67" s="4">
        <f>SUMIFS($AW$3:$AW67,$D$3:$D67,D67)</f>
        <v>1983.1560514819996</v>
      </c>
      <c r="AY67" s="4">
        <f t="shared" si="31"/>
        <v>4782.3927838</v>
      </c>
      <c r="AZ67" s="97">
        <f t="shared" si="42"/>
        <v>0.20449427787245078</v>
      </c>
      <c r="BA67" s="97">
        <f t="shared" si="43"/>
        <v>0.21776850813345483</v>
      </c>
      <c r="BB67" s="97">
        <f t="shared" si="58"/>
        <v>0.179291474014591</v>
      </c>
      <c r="BC67" s="4">
        <v>301.20121048200002</v>
      </c>
      <c r="BD67" s="4">
        <f t="shared" si="22"/>
        <v>96.252649168999938</v>
      </c>
      <c r="BE67" s="4">
        <v>50.808717177999995</v>
      </c>
      <c r="BF67" s="4">
        <v>12.119360480999999</v>
      </c>
      <c r="BG67" s="4">
        <f t="shared" ref="BG67:BG130" si="76">+BF67/$F$207*1000</f>
        <v>1.7430095656292588</v>
      </c>
      <c r="BH67" s="4">
        <f>Datos1[[#This Row],[Intereses]]/Datos1[[#This Row],[PIB nominal (miles de millones de G.)]]*100</f>
        <v>1.1301605201842885E-2</v>
      </c>
      <c r="BI67" s="4">
        <v>87.694756731999988</v>
      </c>
      <c r="BJ67" s="4">
        <v>109.86443260600001</v>
      </c>
      <c r="BK67" s="4">
        <v>14.776026394000001</v>
      </c>
      <c r="BL67" s="56">
        <f t="shared" ref="BL67:BL98" si="77">+G67-AP67</f>
        <v>510.64587886200025</v>
      </c>
      <c r="BM67" s="56">
        <f>SUMIFS($BL$3:$BL67,$D$3:$D67,D67)</f>
        <v>1656.2973171789999</v>
      </c>
      <c r="BN67" s="56">
        <f t="shared" si="62"/>
        <v>2457.3564139470004</v>
      </c>
      <c r="BO67" s="100">
        <f t="shared" si="44"/>
        <v>0.2515009201230205</v>
      </c>
      <c r="BP67" s="100">
        <f t="shared" si="45"/>
        <v>0.16071790041048439</v>
      </c>
      <c r="BQ67" s="100">
        <f t="shared" si="53"/>
        <v>0.20307791085127924</v>
      </c>
      <c r="BR67" s="2">
        <f t="shared" ref="BR67:BR130" si="78">BL67/E67*100</f>
        <v>0.47618998790357164</v>
      </c>
      <c r="BS67" s="2">
        <f>+Datos1[[#This Row],[RON acumulado 12 meses]]/Datos1[[#This Row],[PIB nominal (miles de millones de G.)]]*100</f>
        <v>2.2915459998227443</v>
      </c>
      <c r="BT67" s="56">
        <v>128.320563443</v>
      </c>
      <c r="BU67" s="56">
        <f>SUMIFS($BT$3:$BT67,$D$3:$D67,D67)</f>
        <v>336.31393183499995</v>
      </c>
      <c r="BV67" s="56">
        <f t="shared" si="32"/>
        <v>1452.5162141999999</v>
      </c>
      <c r="BW67" s="100">
        <f t="shared" si="46"/>
        <v>-9.5850516742616687E-2</v>
      </c>
      <c r="BX67" s="100">
        <f t="shared" si="47"/>
        <v>-0.18250938723680221</v>
      </c>
      <c r="BY67" s="100">
        <f t="shared" si="54"/>
        <v>-8.8012044475078599E-2</v>
      </c>
      <c r="BZ67" s="56">
        <f t="shared" ref="BZ67:BZ130" si="79">BT67*1000/$F$207</f>
        <v>18.455096694147517</v>
      </c>
      <c r="CA67" s="56">
        <f>Datos1[[#This Row],[Adquisición Neta de Activos no Financieros]]/Datos1[[#This Row],[PIB nominal (miles de millones de G.)]]*100</f>
        <v>0.11966211827632317</v>
      </c>
      <c r="CB67" s="56">
        <f>+Datos1[[#This Row],[ANANF acumulado por año]]/Datos1[[#This Row],[PIB nominal (miles de millones de G.)]]*100</f>
        <v>0.31362110958226469</v>
      </c>
      <c r="CC67" s="56">
        <f>+Datos1[[#This Row],[ANANF acumulado 12 meses]]/Datos1[[#This Row],[PIB nominal (miles de millones de G.)]]*100</f>
        <v>1.3545075111759814</v>
      </c>
      <c r="CD67" s="4">
        <v>78.042201250999994</v>
      </c>
      <c r="CE67" s="4">
        <f t="shared" ref="CE67:CE130" si="80">CD67*1000/$F$207</f>
        <v>11.224049611901027</v>
      </c>
      <c r="CF67" s="4">
        <f t="shared" ref="CF67:CF130" si="81">+BT67-CD67</f>
        <v>50.278362192000003</v>
      </c>
      <c r="CG67" s="4">
        <f t="shared" ref="CG67:CG130" si="82">CF67*1000/$F$207</f>
        <v>7.2310470822464898</v>
      </c>
      <c r="CH67" s="56">
        <f t="shared" ref="CH67:CH130" si="83">+BL67-BT67</f>
        <v>382.32531541900028</v>
      </c>
      <c r="CI67" s="56">
        <f>SUMIFS($CH$3:$CH67,$D$3:$D67,D67)</f>
        <v>1319.983385344</v>
      </c>
      <c r="CJ67" s="56">
        <f t="shared" si="63"/>
        <v>1004.8401997470004</v>
      </c>
      <c r="CK67" s="56">
        <f>Datos1[[#This Row],[Resultado Fiscal (miles de millones de G.)]]*1000/$F$207</f>
        <v>54.986125959556816</v>
      </c>
      <c r="CL67" s="56">
        <f t="shared" si="33"/>
        <v>144.51637797502997</v>
      </c>
      <c r="CM67" s="100">
        <f t="shared" si="48"/>
        <v>0.43675842777645379</v>
      </c>
      <c r="CN67" s="100">
        <f t="shared" si="49"/>
        <v>0.29975723158534762</v>
      </c>
      <c r="CO67" s="100">
        <f t="shared" si="55"/>
        <v>1.2336449376616794</v>
      </c>
      <c r="CP67" s="4">
        <f t="shared" ref="CP67:CP130" si="84">+CH67/E67*100</f>
        <v>0.35652786962724853</v>
      </c>
      <c r="CQ67" s="4">
        <f t="shared" si="64"/>
        <v>0.93703848864676287</v>
      </c>
      <c r="CR67" s="73">
        <v>409.99564808299999</v>
      </c>
      <c r="CS67" s="113">
        <f>SUM(Datos1[[#This Row],[FFPP]:[MTESS]])</f>
        <v>0</v>
      </c>
      <c r="CT67" s="113"/>
      <c r="CU67" s="113"/>
      <c r="CV67" s="113"/>
      <c r="CW67" s="113"/>
      <c r="CX67" s="113"/>
      <c r="CY67" s="113"/>
      <c r="CZ67" s="113"/>
    </row>
    <row r="68" spans="1:104">
      <c r="A68">
        <v>66</v>
      </c>
      <c r="B68" s="3">
        <v>39600</v>
      </c>
      <c r="C68" s="14" t="str">
        <f t="shared" si="66"/>
        <v>Junio</v>
      </c>
      <c r="D68" s="14">
        <f t="shared" ref="D68:D131" si="85">YEAR(B68)</f>
        <v>2008</v>
      </c>
      <c r="E68" s="15">
        <f t="shared" si="67"/>
        <v>107235.74452082052</v>
      </c>
      <c r="F68" s="15">
        <f t="shared" si="68"/>
        <v>4363.0665456320312</v>
      </c>
      <c r="G68" s="56">
        <v>961.69130117399993</v>
      </c>
      <c r="H68" s="4">
        <f t="shared" ref="H68:H131" si="86">G68/E68*100</f>
        <v>0.89680106709874274</v>
      </c>
      <c r="I68" s="4">
        <f>SUMIFS($G$3:$G68,$D$3:$D68,D68)</f>
        <v>6239.6629129390003</v>
      </c>
      <c r="J68" s="2">
        <f t="shared" si="27"/>
        <v>11859.472350779</v>
      </c>
      <c r="K68" s="95">
        <f t="shared" si="34"/>
        <v>0.20165492530077356</v>
      </c>
      <c r="L68" s="95">
        <f t="shared" si="35"/>
        <v>0.24129126411045121</v>
      </c>
      <c r="M68" s="95">
        <f t="shared" si="50"/>
        <v>0.18826919612039994</v>
      </c>
      <c r="N68" s="4">
        <v>676.90941695999993</v>
      </c>
      <c r="O68" s="4">
        <f t="shared" si="69"/>
        <v>0.63123487414084545</v>
      </c>
      <c r="P68" s="4">
        <f>SUMIFS($N$3:$N68,$D$3:$D68,D68)</f>
        <v>4229.5598896629999</v>
      </c>
      <c r="Q68" s="4">
        <f t="shared" si="61"/>
        <v>7860.3704793290008</v>
      </c>
      <c r="R68" s="97">
        <f t="shared" si="36"/>
        <v>0.23793207902537161</v>
      </c>
      <c r="S68" s="97">
        <f t="shared" si="37"/>
        <v>0.24845747068063617</v>
      </c>
      <c r="T68" s="97">
        <f t="shared" si="51"/>
        <v>0.19918313155080014</v>
      </c>
      <c r="U68" s="4">
        <v>311.6096656249</v>
      </c>
      <c r="V68" s="4">
        <f t="shared" si="28"/>
        <v>3519.3195363217997</v>
      </c>
      <c r="W68" s="97">
        <f t="shared" si="56"/>
        <v>0.21699080226724643</v>
      </c>
      <c r="X68" s="97">
        <f t="shared" si="38"/>
        <v>0.18595879400707327</v>
      </c>
      <c r="Y68" s="4">
        <v>356.37531824600001</v>
      </c>
      <c r="Z68" s="4">
        <f t="shared" si="29"/>
        <v>4200.4218202039992</v>
      </c>
      <c r="AA68" s="97">
        <f t="shared" si="57"/>
        <v>0.13841964835323761</v>
      </c>
      <c r="AB68" s="97">
        <f t="shared" si="39"/>
        <v>0.23583003492886223</v>
      </c>
      <c r="AC68" s="4">
        <v>66.716170855000001</v>
      </c>
      <c r="AD68" s="4">
        <f t="shared" si="70"/>
        <v>6.2214489350653615E-2</v>
      </c>
      <c r="AE68" s="4">
        <v>35.735190127000003</v>
      </c>
      <c r="AF68" s="4">
        <f t="shared" si="71"/>
        <v>3.3323953954608659E-2</v>
      </c>
      <c r="AG68" s="4">
        <v>182.33052323200002</v>
      </c>
      <c r="AH68" s="4">
        <f t="shared" si="72"/>
        <v>41.789535255779079</v>
      </c>
      <c r="AI68" s="4">
        <v>108.48828704599998</v>
      </c>
      <c r="AJ68" s="4">
        <f t="shared" si="73"/>
        <v>15.602813562346316</v>
      </c>
      <c r="AK68" s="101">
        <f>SUMIFS($AJ$3:$AJ68,$D$3:$D68,D68)</f>
        <v>100.33713771571239</v>
      </c>
      <c r="AL68" s="4">
        <v>27.829152894</v>
      </c>
      <c r="AM68" s="4">
        <f t="shared" si="74"/>
        <v>4.0023959823331188</v>
      </c>
      <c r="AN68" s="101">
        <f>SUMIFS($AM$3:$AM68,$D$3:$D68,D68)</f>
        <v>25.4596328069352</v>
      </c>
      <c r="AO68" s="4">
        <f t="shared" ref="AO68:AO131" si="87">+AG68-AI68-AL68</f>
        <v>46.013083292000033</v>
      </c>
      <c r="AP68" s="56">
        <v>736.55129303700005</v>
      </c>
      <c r="AQ68" s="4">
        <f t="shared" si="75"/>
        <v>0.68685240758877175</v>
      </c>
      <c r="AR68" s="4">
        <f>SUMIFS($AP$3:$AP68,$D$3:$D68,D68)</f>
        <v>4358.225587623001</v>
      </c>
      <c r="AS68" s="4">
        <f t="shared" si="30"/>
        <v>9319.3165863519989</v>
      </c>
      <c r="AT68" s="97">
        <f t="shared" si="40"/>
        <v>0.1646735818353775</v>
      </c>
      <c r="AU68" s="97">
        <f t="shared" si="41"/>
        <v>0.20284717180302225</v>
      </c>
      <c r="AV68" s="98">
        <f t="shared" si="65"/>
        <v>0.17982694266097243</v>
      </c>
      <c r="AW68" s="4">
        <v>406.28248677600004</v>
      </c>
      <c r="AX68" s="4">
        <f>SUMIFS($AW$3:$AW68,$D$3:$D68,D68)</f>
        <v>2389.4385382579994</v>
      </c>
      <c r="AY68" s="4">
        <f t="shared" si="31"/>
        <v>4853.0447831079991</v>
      </c>
      <c r="AZ68" s="97">
        <f t="shared" si="42"/>
        <v>0.21050530850459848</v>
      </c>
      <c r="BA68" s="97">
        <f t="shared" si="43"/>
        <v>0.21652738345905154</v>
      </c>
      <c r="BB68" s="97">
        <f t="shared" si="58"/>
        <v>0.18521622324592091</v>
      </c>
      <c r="BC68" s="4">
        <v>302.10377090100002</v>
      </c>
      <c r="BD68" s="4">
        <f t="shared" ref="BD68:BD131" si="88">+AW68-BC68</f>
        <v>104.17871587500002</v>
      </c>
      <c r="BE68" s="4">
        <v>47.966850073999993</v>
      </c>
      <c r="BF68" s="4">
        <v>51.359373496999993</v>
      </c>
      <c r="BG68" s="4">
        <f t="shared" si="76"/>
        <v>7.3865184083220132</v>
      </c>
      <c r="BH68" s="4">
        <f>Datos1[[#This Row],[Intereses]]/Datos1[[#This Row],[PIB nominal (miles de millones de G.)]]*100</f>
        <v>4.7893893707268695E-2</v>
      </c>
      <c r="BI68" s="4">
        <v>102.06744179899999</v>
      </c>
      <c r="BJ68" s="4">
        <v>118.281542825</v>
      </c>
      <c r="BK68" s="4">
        <v>10.593598066</v>
      </c>
      <c r="BL68" s="56">
        <f t="shared" si="77"/>
        <v>225.14000813699988</v>
      </c>
      <c r="BM68" s="56">
        <f>SUMIFS($BL$3:$BL68,$D$3:$D68,D68)</f>
        <v>1881.4373253159997</v>
      </c>
      <c r="BN68" s="56">
        <f t="shared" si="62"/>
        <v>2540.1557644270001</v>
      </c>
      <c r="BO68" s="100">
        <f t="shared" si="44"/>
        <v>0.58169852411053591</v>
      </c>
      <c r="BP68" s="100">
        <f t="shared" si="45"/>
        <v>0.19890222252100864</v>
      </c>
      <c r="BQ68" s="100">
        <f t="shared" si="53"/>
        <v>0.22030473927730121</v>
      </c>
      <c r="BR68" s="2">
        <f t="shared" si="78"/>
        <v>0.20994865950997102</v>
      </c>
      <c r="BS68" s="2">
        <f>+Datos1[[#This Row],[RON acumulado 12 meses]]/Datos1[[#This Row],[PIB nominal (miles de millones de G.)]]*100</f>
        <v>2.368758454354567</v>
      </c>
      <c r="BT68" s="56">
        <v>76.133217696000017</v>
      </c>
      <c r="BU68" s="56">
        <f>SUMIFS($BT$3:$BT68,$D$3:$D68,D68)</f>
        <v>412.44714953099998</v>
      </c>
      <c r="BV68" s="56">
        <f t="shared" si="32"/>
        <v>1440.1838115999999</v>
      </c>
      <c r="BW68" s="100">
        <f t="shared" si="46"/>
        <v>-0.13940333610657551</v>
      </c>
      <c r="BX68" s="100">
        <f t="shared" si="47"/>
        <v>-0.17488049795170391</v>
      </c>
      <c r="BY68" s="100">
        <f t="shared" si="54"/>
        <v>-5.973492083115417E-2</v>
      </c>
      <c r="BZ68" s="56">
        <f t="shared" si="79"/>
        <v>10.949499102226003</v>
      </c>
      <c r="CA68" s="56">
        <f>Datos1[[#This Row],[Adquisición Neta de Activos no Financieros]]/Datos1[[#This Row],[PIB nominal (miles de millones de G.)]]*100</f>
        <v>7.0996119844366129E-2</v>
      </c>
      <c r="CB68" s="56">
        <f>+Datos1[[#This Row],[ANANF acumulado por año]]/Datos1[[#This Row],[PIB nominal (miles de millones de G.)]]*100</f>
        <v>0.38461722942663085</v>
      </c>
      <c r="CC68" s="56">
        <f>+Datos1[[#This Row],[ANANF acumulado 12 meses]]/Datos1[[#This Row],[PIB nominal (miles de millones de G.)]]*100</f>
        <v>1.343007238897268</v>
      </c>
      <c r="CD68" s="4">
        <v>32.502854918999994</v>
      </c>
      <c r="CE68" s="4">
        <f t="shared" si="80"/>
        <v>4.6745690189588638</v>
      </c>
      <c r="CF68" s="4">
        <f t="shared" si="81"/>
        <v>43.630362777000023</v>
      </c>
      <c r="CG68" s="4">
        <f t="shared" si="82"/>
        <v>6.2749300832671384</v>
      </c>
      <c r="CH68" s="56">
        <f t="shared" si="83"/>
        <v>149.00679044099985</v>
      </c>
      <c r="CI68" s="56">
        <f>SUMIFS($CH$3:$CH68,$D$3:$D68,D68)</f>
        <v>1468.9901757849998</v>
      </c>
      <c r="CJ68" s="56">
        <f t="shared" si="63"/>
        <v>1099.9719528270002</v>
      </c>
      <c r="CK68" s="56">
        <f>Datos1[[#This Row],[Resultado Fiscal (miles de millones de G.)]]*1000/$F$207</f>
        <v>21.430195222722425</v>
      </c>
      <c r="CL68" s="56">
        <f t="shared" si="33"/>
        <v>158.19825136046774</v>
      </c>
      <c r="CM68" s="100">
        <f t="shared" si="48"/>
        <v>1.765785375563667</v>
      </c>
      <c r="CN68" s="100">
        <f t="shared" si="49"/>
        <v>0.37361137749807627</v>
      </c>
      <c r="CO68" s="100">
        <f t="shared" si="55"/>
        <v>1.0003256697405103</v>
      </c>
      <c r="CP68" s="4">
        <f t="shared" si="84"/>
        <v>0.13895253966560489</v>
      </c>
      <c r="CQ68" s="4">
        <f t="shared" si="64"/>
        <v>1.0257512154572987</v>
      </c>
      <c r="CR68" s="73">
        <v>427.57219298500002</v>
      </c>
      <c r="CS68" s="113">
        <f>SUM(Datos1[[#This Row],[FFPP]:[MTESS]])</f>
        <v>0</v>
      </c>
      <c r="CT68" s="113"/>
      <c r="CU68" s="113"/>
      <c r="CV68" s="113"/>
      <c r="CW68" s="113"/>
      <c r="CX68" s="113"/>
      <c r="CY68" s="113"/>
      <c r="CZ68" s="113"/>
    </row>
    <row r="69" spans="1:104">
      <c r="A69">
        <v>67</v>
      </c>
      <c r="B69" s="3">
        <v>39630</v>
      </c>
      <c r="C69" s="14" t="str">
        <f t="shared" si="66"/>
        <v>Julio</v>
      </c>
      <c r="D69" s="14">
        <f t="shared" si="85"/>
        <v>2008</v>
      </c>
      <c r="E69" s="15">
        <f t="shared" si="67"/>
        <v>107235.74452082052</v>
      </c>
      <c r="F69" s="15">
        <f t="shared" si="68"/>
        <v>4363.0665456320312</v>
      </c>
      <c r="G69" s="56">
        <v>1086.4679564180001</v>
      </c>
      <c r="H69" s="4">
        <f t="shared" si="86"/>
        <v>1.0131584028001552</v>
      </c>
      <c r="I69" s="4">
        <f>SUMIFS($G$3:$G69,$D$3:$D69,D69)</f>
        <v>7326.1308693570008</v>
      </c>
      <c r="J69" s="2">
        <f t="shared" si="27"/>
        <v>12044.471109584001</v>
      </c>
      <c r="K69" s="95">
        <f t="shared" si="34"/>
        <v>0.20218217189610499</v>
      </c>
      <c r="L69" s="95">
        <f t="shared" si="35"/>
        <v>0.205219168103423</v>
      </c>
      <c r="M69" s="95">
        <f t="shared" si="50"/>
        <v>0.19010560304945767</v>
      </c>
      <c r="N69" s="4">
        <v>891.52400867000006</v>
      </c>
      <c r="O69" s="4">
        <f t="shared" si="69"/>
        <v>0.83136832093976354</v>
      </c>
      <c r="P69" s="4">
        <f>SUMIFS($N$3:$N69,$D$3:$D69,D69)</f>
        <v>5121.0838983329995</v>
      </c>
      <c r="Q69" s="4">
        <f t="shared" si="61"/>
        <v>8117.6390390289998</v>
      </c>
      <c r="R69" s="97">
        <f t="shared" si="36"/>
        <v>0.40562293964961871</v>
      </c>
      <c r="S69" s="97">
        <f t="shared" si="37"/>
        <v>0.27324140223761817</v>
      </c>
      <c r="T69" s="97">
        <f t="shared" si="51"/>
        <v>0.22354372029123848</v>
      </c>
      <c r="U69" s="4">
        <v>430.12076372799999</v>
      </c>
      <c r="V69" s="4">
        <f t="shared" si="28"/>
        <v>3641.1473855377999</v>
      </c>
      <c r="W69" s="97">
        <f t="shared" si="56"/>
        <v>0.23500712849223326</v>
      </c>
      <c r="X69" s="97">
        <f t="shared" si="38"/>
        <v>0.39516915076962622</v>
      </c>
      <c r="Y69" s="4">
        <v>445.15895762100007</v>
      </c>
      <c r="Z69" s="4">
        <f t="shared" si="29"/>
        <v>4316.5451843453329</v>
      </c>
      <c r="AA69" s="97">
        <f t="shared" si="57"/>
        <v>0.1606292413208612</v>
      </c>
      <c r="AB69" s="97">
        <f t="shared" si="39"/>
        <v>0.35292037227124373</v>
      </c>
      <c r="AC69" s="4">
        <v>69.705391949000003</v>
      </c>
      <c r="AD69" s="4">
        <f t="shared" si="70"/>
        <v>6.5002012398455669E-2</v>
      </c>
      <c r="AE69" s="4">
        <v>15.027150486</v>
      </c>
      <c r="AF69" s="4">
        <f t="shared" si="71"/>
        <v>1.4013191732988229E-2</v>
      </c>
      <c r="AG69" s="4">
        <v>110.211405313</v>
      </c>
      <c r="AH69" s="4">
        <f t="shared" si="72"/>
        <v>25.260078928508488</v>
      </c>
      <c r="AI69" s="4">
        <v>63.105137161000002</v>
      </c>
      <c r="AJ69" s="4">
        <f t="shared" si="73"/>
        <v>9.0757971828967001</v>
      </c>
      <c r="AK69" s="101">
        <f>SUMIFS($AJ$3:$AJ69,$D$3:$D69,D69)</f>
        <v>109.41293489860908</v>
      </c>
      <c r="AL69" s="4">
        <v>0</v>
      </c>
      <c r="AM69" s="4">
        <f t="shared" si="74"/>
        <v>0</v>
      </c>
      <c r="AN69" s="101">
        <f>SUMIFS($AM$3:$AM69,$D$3:$D69,D69)</f>
        <v>25.4596328069352</v>
      </c>
      <c r="AO69" s="4">
        <f t="shared" si="87"/>
        <v>47.106268151999998</v>
      </c>
      <c r="AP69" s="56">
        <v>808.80953297700012</v>
      </c>
      <c r="AQ69" s="4">
        <f t="shared" si="75"/>
        <v>0.75423501425866857</v>
      </c>
      <c r="AR69" s="4">
        <f>SUMIFS($AP$3:$AP69,$D$3:$D69,D69)</f>
        <v>5167.0351206000014</v>
      </c>
      <c r="AS69" s="4">
        <f t="shared" si="30"/>
        <v>9393.1419222999994</v>
      </c>
      <c r="AT69" s="97">
        <f t="shared" si="40"/>
        <v>0.10044479357028591</v>
      </c>
      <c r="AU69" s="97">
        <f t="shared" si="41"/>
        <v>0.18557779413649333</v>
      </c>
      <c r="AV69" s="98">
        <f t="shared" si="65"/>
        <v>0.17477301077559715</v>
      </c>
      <c r="AW69" s="4">
        <v>402.00626029400007</v>
      </c>
      <c r="AX69" s="4">
        <f>SUMIFS($AW$3:$AW69,$D$3:$D69,D69)</f>
        <v>2791.4447985519996</v>
      </c>
      <c r="AY69" s="4">
        <f t="shared" si="31"/>
        <v>4920.569060417999</v>
      </c>
      <c r="AZ69" s="97">
        <f t="shared" si="42"/>
        <v>0.20187717349556089</v>
      </c>
      <c r="BA69" s="97">
        <f t="shared" si="43"/>
        <v>0.21439557730728298</v>
      </c>
      <c r="BB69" s="97">
        <f t="shared" si="58"/>
        <v>0.19150122639551337</v>
      </c>
      <c r="BC69" s="4">
        <v>304.51925776500002</v>
      </c>
      <c r="BD69" s="4">
        <f t="shared" si="88"/>
        <v>97.487002529000051</v>
      </c>
      <c r="BE69" s="4">
        <v>61.002278497999995</v>
      </c>
      <c r="BF69" s="4">
        <v>43.012287393000001</v>
      </c>
      <c r="BG69" s="4">
        <f t="shared" si="76"/>
        <v>6.1860383213395211</v>
      </c>
      <c r="BH69" s="4">
        <f>Datos1[[#This Row],[Intereses]]/Datos1[[#This Row],[PIB nominal (miles de millones de G.)]]*100</f>
        <v>4.0110028223517287E-2</v>
      </c>
      <c r="BI69" s="4">
        <v>113.56412853800001</v>
      </c>
      <c r="BJ69" s="4">
        <v>115.64041770500002</v>
      </c>
      <c r="BK69" s="4">
        <v>73.584160548999989</v>
      </c>
      <c r="BL69" s="56">
        <f t="shared" si="77"/>
        <v>277.65842344099997</v>
      </c>
      <c r="BM69" s="56">
        <f>SUMIFS($BL$3:$BL69,$D$3:$D69,D69)</f>
        <v>2159.0957487569995</v>
      </c>
      <c r="BN69" s="56">
        <f t="shared" si="62"/>
        <v>2651.329187284</v>
      </c>
      <c r="BO69" s="100">
        <f t="shared" si="44"/>
        <v>0.66776840236071155</v>
      </c>
      <c r="BP69" s="100">
        <f t="shared" si="45"/>
        <v>0.24387275957815691</v>
      </c>
      <c r="BQ69" s="100">
        <f t="shared" si="53"/>
        <v>0.24780281379294089</v>
      </c>
      <c r="BR69" s="2">
        <f t="shared" si="78"/>
        <v>0.25892338854148655</v>
      </c>
      <c r="BS69" s="2">
        <f>+Datos1[[#This Row],[RON acumulado 12 meses]]/Datos1[[#This Row],[PIB nominal (miles de millones de G.)]]*100</f>
        <v>2.472430437380166</v>
      </c>
      <c r="BT69" s="56">
        <v>141.69952347999998</v>
      </c>
      <c r="BU69" s="56">
        <f>SUMIFS($BT$3:$BT69,$D$3:$D69,D69)</f>
        <v>554.14667301099996</v>
      </c>
      <c r="BV69" s="56">
        <f t="shared" si="32"/>
        <v>1468.1764265260001</v>
      </c>
      <c r="BW69" s="100">
        <f t="shared" si="46"/>
        <v>0.24618218261299529</v>
      </c>
      <c r="BX69" s="100">
        <f t="shared" si="47"/>
        <v>-9.6849138447640648E-2</v>
      </c>
      <c r="BY69" s="100">
        <f t="shared" si="54"/>
        <v>-5.4932587584195391E-2</v>
      </c>
      <c r="BZ69" s="56">
        <f t="shared" si="79"/>
        <v>20.379262194399917</v>
      </c>
      <c r="CA69" s="56">
        <f>Datos1[[#This Row],[Adquisición Neta de Activos no Financieros]]/Datos1[[#This Row],[PIB nominal (miles de millones de G.)]]*100</f>
        <v>0.13213833140542805</v>
      </c>
      <c r="CB69" s="56">
        <f>+Datos1[[#This Row],[ANANF acumulado por año]]/Datos1[[#This Row],[PIB nominal (miles de millones de G.)]]*100</f>
        <v>0.51675556083205887</v>
      </c>
      <c r="CC69" s="56">
        <f>+Datos1[[#This Row],[ANANF acumulado 12 meses]]/Datos1[[#This Row],[PIB nominal (miles de millones de G.)]]*100</f>
        <v>1.3691110488265823</v>
      </c>
      <c r="CD69" s="4">
        <v>38.629924931999994</v>
      </c>
      <c r="CE69" s="4">
        <f t="shared" si="80"/>
        <v>5.5557658163213919</v>
      </c>
      <c r="CF69" s="4">
        <f t="shared" si="81"/>
        <v>103.06959854799999</v>
      </c>
      <c r="CG69" s="4">
        <f t="shared" si="82"/>
        <v>14.823496378078529</v>
      </c>
      <c r="CH69" s="56">
        <f t="shared" si="83"/>
        <v>135.95889996099999</v>
      </c>
      <c r="CI69" s="56">
        <f>SUMIFS($CH$3:$CH69,$D$3:$D69,D69)</f>
        <v>1604.9490757459998</v>
      </c>
      <c r="CJ69" s="56">
        <f t="shared" si="63"/>
        <v>1183.1527607580003</v>
      </c>
      <c r="CK69" s="56">
        <f>Datos1[[#This Row],[Resultado Fiscal (miles de millones de G.)]]*1000/$F$207</f>
        <v>19.553644231968651</v>
      </c>
      <c r="CL69" s="56">
        <f t="shared" si="33"/>
        <v>170.16133671697659</v>
      </c>
      <c r="CM69" s="100">
        <f t="shared" si="48"/>
        <v>1.5760480292413432</v>
      </c>
      <c r="CN69" s="100">
        <f t="shared" si="49"/>
        <v>0.43016233611548693</v>
      </c>
      <c r="CO69" s="100">
        <f t="shared" si="55"/>
        <v>1.0710442597606451</v>
      </c>
      <c r="CP69" s="4">
        <f t="shared" si="84"/>
        <v>0.12678505713605848</v>
      </c>
      <c r="CQ69" s="4">
        <f t="shared" si="64"/>
        <v>1.1033193885535839</v>
      </c>
      <c r="CR69" s="73">
        <v>418.35862961300001</v>
      </c>
      <c r="CS69" s="113">
        <f>SUM(Datos1[[#This Row],[FFPP]:[MTESS]])</f>
        <v>0</v>
      </c>
      <c r="CT69" s="113"/>
      <c r="CU69" s="113"/>
      <c r="CV69" s="113"/>
      <c r="CW69" s="113"/>
      <c r="CX69" s="113"/>
      <c r="CY69" s="113"/>
      <c r="CZ69" s="113"/>
    </row>
    <row r="70" spans="1:104">
      <c r="A70">
        <v>68</v>
      </c>
      <c r="B70" s="3">
        <v>39661</v>
      </c>
      <c r="C70" s="14" t="str">
        <f t="shared" si="66"/>
        <v>Agosto</v>
      </c>
      <c r="D70" s="14">
        <f t="shared" si="85"/>
        <v>2008</v>
      </c>
      <c r="E70" s="15">
        <f t="shared" si="67"/>
        <v>107235.74452082052</v>
      </c>
      <c r="F70" s="15">
        <f t="shared" si="68"/>
        <v>4363.0665456320312</v>
      </c>
      <c r="G70" s="56">
        <v>951.01629430699995</v>
      </c>
      <c r="H70" s="4">
        <f t="shared" si="86"/>
        <v>0.88684635758028796</v>
      </c>
      <c r="I70" s="4">
        <f>SUMIFS($G$3:$G70,$D$3:$D70,D70)</f>
        <v>8277.1471636640017</v>
      </c>
      <c r="J70" s="2">
        <f t="shared" si="27"/>
        <v>12079.654296714001</v>
      </c>
      <c r="K70" s="95">
        <f t="shared" si="34"/>
        <v>0.18078631909111165</v>
      </c>
      <c r="L70" s="95">
        <f t="shared" si="35"/>
        <v>3.8416592340115185E-2</v>
      </c>
      <c r="M70" s="95">
        <f t="shared" si="50"/>
        <v>0.17603457546217149</v>
      </c>
      <c r="N70" s="4">
        <v>613.925693701</v>
      </c>
      <c r="O70" s="4">
        <f t="shared" si="69"/>
        <v>0.57250098504403291</v>
      </c>
      <c r="P70" s="4">
        <f>SUMIFS($N$3:$N70,$D$3:$D70,D70)</f>
        <v>5735.0095920339991</v>
      </c>
      <c r="Q70" s="4">
        <f t="shared" si="61"/>
        <v>8165.5583479440011</v>
      </c>
      <c r="R70" s="97">
        <f t="shared" si="36"/>
        <v>8.4662134921177135E-2</v>
      </c>
      <c r="S70" s="97">
        <f t="shared" si="37"/>
        <v>0.24997746018155431</v>
      </c>
      <c r="T70" s="97">
        <f t="shared" si="51"/>
        <v>0.21500289598050903</v>
      </c>
      <c r="U70" s="4">
        <v>224.03055815899998</v>
      </c>
      <c r="V70" s="4">
        <f t="shared" si="28"/>
        <v>3675.1913723438001</v>
      </c>
      <c r="W70" s="97">
        <f t="shared" si="56"/>
        <v>0.24002561455930005</v>
      </c>
      <c r="X70" s="97">
        <f t="shared" si="38"/>
        <v>0.1791915426630093</v>
      </c>
      <c r="Y70" s="4">
        <v>391.22609842399999</v>
      </c>
      <c r="Z70" s="4">
        <f t="shared" si="29"/>
        <v>4352.7183738016665</v>
      </c>
      <c r="AA70" s="97">
        <f t="shared" si="57"/>
        <v>0.15410262863331003</v>
      </c>
      <c r="AB70" s="97">
        <f t="shared" si="39"/>
        <v>0.10188112403165106</v>
      </c>
      <c r="AC70" s="4">
        <v>70.649695468000004</v>
      </c>
      <c r="AD70" s="4">
        <f t="shared" si="70"/>
        <v>6.5882598926035249E-2</v>
      </c>
      <c r="AE70" s="4">
        <v>56.503861178000001</v>
      </c>
      <c r="AF70" s="4">
        <f t="shared" si="71"/>
        <v>5.269125647468173E-2</v>
      </c>
      <c r="AG70" s="4">
        <v>209.93704395999998</v>
      </c>
      <c r="AH70" s="4">
        <f t="shared" si="72"/>
        <v>48.116855831633579</v>
      </c>
      <c r="AI70" s="4">
        <v>157.86137652399998</v>
      </c>
      <c r="AJ70" s="4">
        <f t="shared" si="73"/>
        <v>22.703664088225093</v>
      </c>
      <c r="AK70" s="101">
        <f>SUMIFS($AJ$3:$AJ70,$D$3:$D70,D70)</f>
        <v>132.11659898683416</v>
      </c>
      <c r="AL70" s="4">
        <v>0</v>
      </c>
      <c r="AM70" s="4">
        <f t="shared" si="74"/>
        <v>0</v>
      </c>
      <c r="AN70" s="101">
        <f>SUMIFS($AM$3:$AM70,$D$3:$D70,D70)</f>
        <v>25.4596328069352</v>
      </c>
      <c r="AO70" s="4">
        <f t="shared" si="87"/>
        <v>52.075667436000003</v>
      </c>
      <c r="AP70" s="56">
        <v>683.05188582799997</v>
      </c>
      <c r="AQ70" s="4">
        <f t="shared" si="75"/>
        <v>0.63696287919685302</v>
      </c>
      <c r="AR70" s="4">
        <f>SUMIFS($AP$3:$AP70,$D$3:$D70,D70)</f>
        <v>5850.0870064280016</v>
      </c>
      <c r="AS70" s="4">
        <f t="shared" si="30"/>
        <v>9400.8779122329997</v>
      </c>
      <c r="AT70" s="97">
        <f t="shared" si="40"/>
        <v>1.1455364785612376E-2</v>
      </c>
      <c r="AU70" s="97">
        <f t="shared" si="41"/>
        <v>0.16221705344762927</v>
      </c>
      <c r="AV70" s="98">
        <f t="shared" si="65"/>
        <v>0.16580357105913235</v>
      </c>
      <c r="AW70" s="4">
        <v>400.94736231499996</v>
      </c>
      <c r="AX70" s="4">
        <f>SUMIFS($AW$3:$AW70,$D$3:$D70,D70)</f>
        <v>3192.3921608669998</v>
      </c>
      <c r="AY70" s="4">
        <f t="shared" si="31"/>
        <v>4977.8605719639991</v>
      </c>
      <c r="AZ70" s="97">
        <f t="shared" si="42"/>
        <v>0.16671187590084235</v>
      </c>
      <c r="BA70" s="97">
        <f t="shared" si="43"/>
        <v>0.20819382981423873</v>
      </c>
      <c r="BB70" s="97">
        <f t="shared" si="58"/>
        <v>0.19587823609958144</v>
      </c>
      <c r="BC70" s="4">
        <v>305.46326045699999</v>
      </c>
      <c r="BD70" s="4">
        <f t="shared" si="88"/>
        <v>95.484101857999974</v>
      </c>
      <c r="BE70" s="4">
        <v>45.183987758999997</v>
      </c>
      <c r="BF70" s="4">
        <v>17.262416411000004</v>
      </c>
      <c r="BG70" s="4">
        <f t="shared" si="76"/>
        <v>2.4826852025252921</v>
      </c>
      <c r="BH70" s="4">
        <f>Datos1[[#This Row],[Intereses]]/Datos1[[#This Row],[PIB nominal (miles de millones de G.)]]*100</f>
        <v>1.6097632825823664E-2</v>
      </c>
      <c r="BI70" s="4">
        <v>85.055431069000008</v>
      </c>
      <c r="BJ70" s="4">
        <v>109.54068813200001</v>
      </c>
      <c r="BK70" s="4">
        <v>25.062000142000006</v>
      </c>
      <c r="BL70" s="56">
        <f t="shared" si="77"/>
        <v>267.96440847899999</v>
      </c>
      <c r="BM70" s="56">
        <f>SUMIFS($BL$3:$BL70,$D$3:$D70,D70)</f>
        <v>2427.0601572359992</v>
      </c>
      <c r="BN70" s="56">
        <f t="shared" si="62"/>
        <v>2678.7763844809997</v>
      </c>
      <c r="BO70" s="100">
        <f t="shared" si="44"/>
        <v>0.11411739330712112</v>
      </c>
      <c r="BP70" s="100">
        <f t="shared" si="45"/>
        <v>0.2280814510587672</v>
      </c>
      <c r="BQ70" s="100">
        <f t="shared" si="53"/>
        <v>0.21340522993415822</v>
      </c>
      <c r="BR70" s="2">
        <f t="shared" si="78"/>
        <v>0.24988347838343486</v>
      </c>
      <c r="BS70" s="2">
        <f>+Datos1[[#This Row],[RON acumulado 12 meses]]/Datos1[[#This Row],[PIB nominal (miles de millones de G.)]]*100</f>
        <v>2.4980256317061311</v>
      </c>
      <c r="BT70" s="56">
        <v>109.06892762299998</v>
      </c>
      <c r="BU70" s="56">
        <f>SUMIFS($BT$3:$BT70,$D$3:$D70,D70)</f>
        <v>663.21560063399988</v>
      </c>
      <c r="BV70" s="56">
        <f t="shared" si="32"/>
        <v>1449.1060980960001</v>
      </c>
      <c r="BW70" s="100">
        <f t="shared" si="46"/>
        <v>-0.148825028468343</v>
      </c>
      <c r="BX70" s="100">
        <f t="shared" si="47"/>
        <v>-0.105828597527729</v>
      </c>
      <c r="BY70" s="100">
        <f t="shared" si="54"/>
        <v>-7.5264220506012669E-2</v>
      </c>
      <c r="BZ70" s="56">
        <f t="shared" si="79"/>
        <v>15.686321440628355</v>
      </c>
      <c r="CA70" s="56">
        <f>Datos1[[#This Row],[Adquisición Neta de Activos no Financieros]]/Datos1[[#This Row],[PIB nominal (miles de millones de G.)]]*100</f>
        <v>0.10170948885595095</v>
      </c>
      <c r="CB70" s="56">
        <f>+Datos1[[#This Row],[ANANF acumulado por año]]/Datos1[[#This Row],[PIB nominal (miles de millones de G.)]]*100</f>
        <v>0.61846504968800986</v>
      </c>
      <c r="CC70" s="56">
        <f>+Datos1[[#This Row],[ANANF acumulado 12 meses]]/Datos1[[#This Row],[PIB nominal (miles de millones de G.)]]*100</f>
        <v>1.3513274930586663</v>
      </c>
      <c r="CD70" s="4">
        <v>40.708756139999998</v>
      </c>
      <c r="CE70" s="4">
        <f t="shared" si="80"/>
        <v>5.8547438594741816</v>
      </c>
      <c r="CF70" s="4">
        <f t="shared" si="81"/>
        <v>68.360171482999988</v>
      </c>
      <c r="CG70" s="4">
        <f t="shared" si="82"/>
        <v>9.831577581154173</v>
      </c>
      <c r="CH70" s="56">
        <f t="shared" si="83"/>
        <v>158.89548085600001</v>
      </c>
      <c r="CI70" s="56">
        <f>SUMIFS($CH$3:$CH70,$D$3:$D70,D70)</f>
        <v>1763.8445566019998</v>
      </c>
      <c r="CJ70" s="56">
        <f t="shared" si="63"/>
        <v>1229.6702863850001</v>
      </c>
      <c r="CK70" s="56">
        <f>Datos1[[#This Row],[Resultado Fiscal (miles de millones de G.)]]*1000/$F$207</f>
        <v>22.852389241285806</v>
      </c>
      <c r="CL70" s="56">
        <f t="shared" si="33"/>
        <v>176.85149930966276</v>
      </c>
      <c r="CM70" s="100">
        <f t="shared" si="48"/>
        <v>0.41393817437065894</v>
      </c>
      <c r="CN70" s="100">
        <f t="shared" si="49"/>
        <v>0.4286855427459102</v>
      </c>
      <c r="CO70" s="100">
        <f t="shared" si="55"/>
        <v>0.91955090313514054</v>
      </c>
      <c r="CP70" s="4">
        <f t="shared" si="84"/>
        <v>0.14817398952748392</v>
      </c>
      <c r="CQ70" s="4">
        <f t="shared" si="64"/>
        <v>1.1466981386474653</v>
      </c>
      <c r="CR70" s="73">
        <v>414.04444765</v>
      </c>
      <c r="CS70" s="113">
        <f>SUM(Datos1[[#This Row],[FFPP]:[MTESS]])</f>
        <v>0</v>
      </c>
      <c r="CT70" s="113"/>
      <c r="CU70" s="113"/>
      <c r="CV70" s="113"/>
      <c r="CW70" s="113"/>
      <c r="CX70" s="113"/>
      <c r="CY70" s="113"/>
      <c r="CZ70" s="113"/>
    </row>
    <row r="71" spans="1:104">
      <c r="A71">
        <v>69</v>
      </c>
      <c r="B71" s="3">
        <v>39692</v>
      </c>
      <c r="C71" s="14" t="str">
        <f t="shared" si="66"/>
        <v>Septiembre</v>
      </c>
      <c r="D71" s="14">
        <f t="shared" si="85"/>
        <v>2008</v>
      </c>
      <c r="E71" s="15">
        <f t="shared" si="67"/>
        <v>107235.74452082052</v>
      </c>
      <c r="F71" s="15">
        <f t="shared" si="68"/>
        <v>4363.0665456320312</v>
      </c>
      <c r="G71" s="56">
        <v>1090.1667557430001</v>
      </c>
      <c r="H71" s="4">
        <f t="shared" si="86"/>
        <v>1.0166076252040541</v>
      </c>
      <c r="I71" s="4">
        <f>SUMIFS($G$3:$G71,$D$3:$D71,D71)</f>
        <v>9367.3139194070027</v>
      </c>
      <c r="J71" s="2">
        <f t="shared" si="27"/>
        <v>12350.156614871001</v>
      </c>
      <c r="K71" s="95">
        <f t="shared" si="34"/>
        <v>0.19640900442584464</v>
      </c>
      <c r="L71" s="95">
        <f t="shared" si="35"/>
        <v>0.33001592572889749</v>
      </c>
      <c r="M71" s="95">
        <f t="shared" si="50"/>
        <v>0.21659234857327325</v>
      </c>
      <c r="N71" s="4">
        <v>823.64789551600006</v>
      </c>
      <c r="O71" s="4">
        <f t="shared" si="69"/>
        <v>0.76807215653366723</v>
      </c>
      <c r="P71" s="4">
        <f>SUMIFS($N$3:$N71,$D$3:$D71,D71)</f>
        <v>6558.6574875499991</v>
      </c>
      <c r="Q71" s="4">
        <f t="shared" si="61"/>
        <v>8433.7053736350008</v>
      </c>
      <c r="R71" s="97">
        <f t="shared" si="36"/>
        <v>0.48271216168477737</v>
      </c>
      <c r="S71" s="97">
        <f t="shared" si="37"/>
        <v>0.27511249175881947</v>
      </c>
      <c r="T71" s="97">
        <f t="shared" si="51"/>
        <v>0.25232108446355195</v>
      </c>
      <c r="U71" s="4">
        <v>372.74603312999989</v>
      </c>
      <c r="V71" s="4">
        <f t="shared" si="28"/>
        <v>3729.6422587118</v>
      </c>
      <c r="W71" s="97">
        <f t="shared" si="56"/>
        <v>0.23182306568125322</v>
      </c>
      <c r="X71" s="97">
        <f t="shared" si="38"/>
        <v>0.17107042605558331</v>
      </c>
      <c r="Y71" s="4">
        <v>456.69857069800008</v>
      </c>
      <c r="Z71" s="4">
        <f t="shared" si="29"/>
        <v>4521.8428264269996</v>
      </c>
      <c r="AA71" s="97">
        <f t="shared" si="57"/>
        <v>0.19691714372175761</v>
      </c>
      <c r="AB71" s="97">
        <f t="shared" si="39"/>
        <v>0.58810735040695761</v>
      </c>
      <c r="AC71" s="4">
        <v>70.125049658000009</v>
      </c>
      <c r="AD71" s="4">
        <f t="shared" si="70"/>
        <v>6.5393353653999925E-2</v>
      </c>
      <c r="AE71" s="4">
        <v>44.719327354999997</v>
      </c>
      <c r="AF71" s="4">
        <f t="shared" si="71"/>
        <v>4.1701885462563697E-2</v>
      </c>
      <c r="AG71" s="4">
        <v>151.67448321400002</v>
      </c>
      <c r="AH71" s="4">
        <f t="shared" si="72"/>
        <v>34.76327523948607</v>
      </c>
      <c r="AI71" s="4">
        <v>107.505259619</v>
      </c>
      <c r="AJ71" s="4">
        <f t="shared" si="73"/>
        <v>15.461434303001479</v>
      </c>
      <c r="AK71" s="101">
        <f>SUMIFS($AJ$3:$AJ71,$D$3:$D71,D71)</f>
        <v>147.57803328983564</v>
      </c>
      <c r="AL71" s="4">
        <v>0</v>
      </c>
      <c r="AM71" s="4">
        <f t="shared" si="74"/>
        <v>0</v>
      </c>
      <c r="AN71" s="101">
        <f>SUMIFS($AM$3:$AM71,$D$3:$D71,D71)</f>
        <v>25.4596328069352</v>
      </c>
      <c r="AO71" s="4">
        <f t="shared" si="87"/>
        <v>44.16922359500002</v>
      </c>
      <c r="AP71" s="56">
        <v>783.54315273199995</v>
      </c>
      <c r="AQ71" s="4">
        <f t="shared" si="75"/>
        <v>0.7306734860034193</v>
      </c>
      <c r="AR71" s="4">
        <f>SUMIFS($AP$3:$AP71,$D$3:$D71,D71)</f>
        <v>6633.6301591600013</v>
      </c>
      <c r="AS71" s="4">
        <f t="shared" si="30"/>
        <v>9463.9785738709998</v>
      </c>
      <c r="AT71" s="97">
        <f t="shared" si="40"/>
        <v>8.7585980030384869E-2</v>
      </c>
      <c r="AU71" s="97">
        <f t="shared" si="41"/>
        <v>0.15287270319043023</v>
      </c>
      <c r="AV71" s="98">
        <f t="shared" si="65"/>
        <v>0.15907071540146278</v>
      </c>
      <c r="AW71" s="4">
        <v>403.27392143999992</v>
      </c>
      <c r="AX71" s="4">
        <f>SUMIFS($AW$3:$AW71,$D$3:$D71,D71)</f>
        <v>3595.6660823069997</v>
      </c>
      <c r="AY71" s="4">
        <f t="shared" si="31"/>
        <v>5037.4366589489991</v>
      </c>
      <c r="AZ71" s="97">
        <f t="shared" si="42"/>
        <v>0.17333855792099873</v>
      </c>
      <c r="BA71" s="97">
        <f t="shared" si="43"/>
        <v>0.20418185685963985</v>
      </c>
      <c r="BB71" s="97">
        <f t="shared" si="58"/>
        <v>0.19732732437407519</v>
      </c>
      <c r="BC71" s="4">
        <v>306.11163400700002</v>
      </c>
      <c r="BD71" s="4">
        <f t="shared" si="88"/>
        <v>97.162287432999904</v>
      </c>
      <c r="BE71" s="4">
        <v>47.240276496</v>
      </c>
      <c r="BF71" s="4">
        <v>45.981514473999994</v>
      </c>
      <c r="BG71" s="4">
        <f t="shared" si="76"/>
        <v>6.6130733297314332</v>
      </c>
      <c r="BH71" s="4">
        <f>Datos1[[#This Row],[Intereses]]/Datos1[[#This Row],[PIB nominal (miles de millones de G.)]]*100</f>
        <v>4.2878906356706818E-2</v>
      </c>
      <c r="BI71" s="4">
        <v>125.062600217</v>
      </c>
      <c r="BJ71" s="4">
        <v>109.407231201</v>
      </c>
      <c r="BK71" s="4">
        <v>52.577608904000002</v>
      </c>
      <c r="BL71" s="56">
        <f t="shared" si="77"/>
        <v>306.62360301100011</v>
      </c>
      <c r="BM71" s="56">
        <f>SUMIFS($BL$3:$BL71,$D$3:$D71,D71)</f>
        <v>2733.6837602469996</v>
      </c>
      <c r="BN71" s="56">
        <f t="shared" si="62"/>
        <v>2886.1780410000001</v>
      </c>
      <c r="BO71" s="100">
        <f t="shared" si="44"/>
        <v>2.0902800625436493</v>
      </c>
      <c r="BP71" s="100">
        <f t="shared" si="45"/>
        <v>0.31710521174542272</v>
      </c>
      <c r="BQ71" s="100">
        <f t="shared" si="53"/>
        <v>0.4530494097137221</v>
      </c>
      <c r="BR71" s="2">
        <f t="shared" si="78"/>
        <v>0.28593413920063487</v>
      </c>
      <c r="BS71" s="2">
        <f>+Datos1[[#This Row],[RON acumulado 12 meses]]/Datos1[[#This Row],[PIB nominal (miles de millones de G.)]]*100</f>
        <v>2.691432836967556</v>
      </c>
      <c r="BT71" s="56">
        <v>53.162851089</v>
      </c>
      <c r="BU71" s="56">
        <f>SUMIFS($BT$3:$BT71,$D$3:$D71,D71)</f>
        <v>716.3784517229999</v>
      </c>
      <c r="BV71" s="56">
        <f t="shared" si="32"/>
        <v>1362.1542692340001</v>
      </c>
      <c r="BW71" s="100">
        <f t="shared" si="46"/>
        <v>-0.62057615156676116</v>
      </c>
      <c r="BX71" s="100">
        <f t="shared" si="47"/>
        <v>-0.18761777303289384</v>
      </c>
      <c r="BY71" s="100">
        <f t="shared" si="54"/>
        <v>-0.13999389391181483</v>
      </c>
      <c r="BZ71" s="56">
        <f t="shared" si="79"/>
        <v>7.6458950230519891</v>
      </c>
      <c r="CA71" s="56">
        <f>Datos1[[#This Row],[Adquisición Neta de Activos no Financieros]]/Datos1[[#This Row],[PIB nominal (miles de millones de G.)]]*100</f>
        <v>4.9575681435846314E-2</v>
      </c>
      <c r="CB71" s="56">
        <f>+Datos1[[#This Row],[ANANF acumulado por año]]/Datos1[[#This Row],[PIB nominal (miles de millones de G.)]]*100</f>
        <v>0.66804073112385609</v>
      </c>
      <c r="CC71" s="56">
        <f>+Datos1[[#This Row],[ANANF acumulado 12 meses]]/Datos1[[#This Row],[PIB nominal (miles de millones de G.)]]*100</f>
        <v>1.270242749113873</v>
      </c>
      <c r="CD71" s="4">
        <v>20.274481881999996</v>
      </c>
      <c r="CE71" s="4">
        <f t="shared" si="80"/>
        <v>2.9158812392704081</v>
      </c>
      <c r="CF71" s="4">
        <f t="shared" si="81"/>
        <v>32.888369207000004</v>
      </c>
      <c r="CG71" s="4">
        <f t="shared" si="82"/>
        <v>4.7300137837815805</v>
      </c>
      <c r="CH71" s="56">
        <f t="shared" si="83"/>
        <v>253.4607519220001</v>
      </c>
      <c r="CI71" s="56">
        <f>SUMIFS($CH$3:$CH71,$D$3:$D71,D71)</f>
        <v>2017.3053085239999</v>
      </c>
      <c r="CJ71" s="56">
        <f t="shared" si="63"/>
        <v>1524.0237717660002</v>
      </c>
      <c r="CK71" s="56">
        <f>Datos1[[#This Row],[Resultado Fiscal (miles de millones de G.)]]*1000/$F$207</f>
        <v>36.452791036642054</v>
      </c>
      <c r="CL71" s="56">
        <f t="shared" si="33"/>
        <v>219.1854938714832</v>
      </c>
      <c r="CM71" s="100">
        <f t="shared" si="48"/>
        <v>-7.1981856061572698</v>
      </c>
      <c r="CN71" s="100">
        <f t="shared" si="49"/>
        <v>0.68996027811071903</v>
      </c>
      <c r="CO71" s="100">
        <f t="shared" si="55"/>
        <v>2.7873232120197615</v>
      </c>
      <c r="CP71" s="4">
        <f t="shared" si="84"/>
        <v>0.23635845776478853</v>
      </c>
      <c r="CQ71" s="4">
        <f t="shared" si="64"/>
        <v>1.4211900878536829</v>
      </c>
      <c r="CR71" s="73">
        <v>416.04194919100001</v>
      </c>
      <c r="CS71" s="113">
        <f>SUM(Datos1[[#This Row],[FFPP]:[MTESS]])</f>
        <v>0</v>
      </c>
      <c r="CT71" s="113"/>
      <c r="CU71" s="113"/>
      <c r="CV71" s="113"/>
      <c r="CW71" s="113"/>
      <c r="CX71" s="113"/>
      <c r="CY71" s="113"/>
      <c r="CZ71" s="113"/>
    </row>
    <row r="72" spans="1:104">
      <c r="A72">
        <v>70</v>
      </c>
      <c r="B72" s="3">
        <v>39722</v>
      </c>
      <c r="C72" s="14" t="str">
        <f t="shared" si="66"/>
        <v>Octubre</v>
      </c>
      <c r="D72" s="14">
        <f t="shared" si="85"/>
        <v>2008</v>
      </c>
      <c r="E72" s="15">
        <f t="shared" si="67"/>
        <v>107235.74452082052</v>
      </c>
      <c r="F72" s="15">
        <f t="shared" si="68"/>
        <v>4363.0665456320312</v>
      </c>
      <c r="G72" s="56">
        <v>989.88140071600003</v>
      </c>
      <c r="H72" s="4">
        <f t="shared" si="86"/>
        <v>0.92308903634627915</v>
      </c>
      <c r="I72" s="4">
        <f>SUMIFS($G$3:$G72,$D$3:$D72,D72)</f>
        <v>10357.195320123003</v>
      </c>
      <c r="J72" s="2">
        <f t="shared" si="27"/>
        <v>12375.524423328003</v>
      </c>
      <c r="K72" s="95">
        <f t="shared" si="34"/>
        <v>0.17775189384235524</v>
      </c>
      <c r="L72" s="95">
        <f t="shared" si="35"/>
        <v>2.6301141487893087E-2</v>
      </c>
      <c r="M72" s="95">
        <f t="shared" si="50"/>
        <v>0.1972653712310064</v>
      </c>
      <c r="N72" s="4">
        <v>691.49721565699997</v>
      </c>
      <c r="O72" s="4">
        <f t="shared" si="69"/>
        <v>0.6448383593986623</v>
      </c>
      <c r="P72" s="4">
        <f>SUMIFS($N$3:$N72,$D$3:$D72,D72)</f>
        <v>7250.1547032069993</v>
      </c>
      <c r="Q72" s="4">
        <f t="shared" si="61"/>
        <v>8555.1507722259994</v>
      </c>
      <c r="R72" s="97">
        <f t="shared" si="36"/>
        <v>0.21304273568684917</v>
      </c>
      <c r="S72" s="97">
        <f t="shared" si="37"/>
        <v>0.2689197743170586</v>
      </c>
      <c r="T72" s="97">
        <f t="shared" si="51"/>
        <v>0.25857186163672941</v>
      </c>
      <c r="U72" s="4">
        <v>234.9581037990001</v>
      </c>
      <c r="V72" s="4">
        <f t="shared" si="28"/>
        <v>3743.1441055598002</v>
      </c>
      <c r="W72" s="97">
        <f t="shared" si="56"/>
        <v>0.22159149733550221</v>
      </c>
      <c r="X72" s="97">
        <f t="shared" si="38"/>
        <v>6.0968459568011113E-2</v>
      </c>
      <c r="Y72" s="4">
        <v>451.16403057999997</v>
      </c>
      <c r="Z72" s="4">
        <f t="shared" si="29"/>
        <v>4600.9712848533336</v>
      </c>
      <c r="AA72" s="97">
        <f t="shared" si="57"/>
        <v>0.20557003874079971</v>
      </c>
      <c r="AB72" s="97">
        <f t="shared" si="39"/>
        <v>0.21269057141033243</v>
      </c>
      <c r="AC72" s="4">
        <v>69.133051979000001</v>
      </c>
      <c r="AD72" s="4">
        <f t="shared" si="70"/>
        <v>6.446829113549668E-2</v>
      </c>
      <c r="AE72" s="4">
        <v>54.483900163999998</v>
      </c>
      <c r="AF72" s="4">
        <f t="shared" si="71"/>
        <v>5.0807592568559629E-2</v>
      </c>
      <c r="AG72" s="4">
        <v>174.76723291599998</v>
      </c>
      <c r="AH72" s="4">
        <f t="shared" si="72"/>
        <v>40.056054861451422</v>
      </c>
      <c r="AI72" s="4">
        <v>130.16522457000002</v>
      </c>
      <c r="AJ72" s="4">
        <f t="shared" si="73"/>
        <v>18.720396335555677</v>
      </c>
      <c r="AK72" s="101">
        <f>SUMIFS($AJ$3:$AJ72,$D$3:$D72,D72)</f>
        <v>166.29842962539132</v>
      </c>
      <c r="AL72" s="4">
        <v>0</v>
      </c>
      <c r="AM72" s="4">
        <f t="shared" si="74"/>
        <v>0</v>
      </c>
      <c r="AN72" s="101">
        <f>SUMIFS($AM$3:$AM72,$D$3:$D72,D72)</f>
        <v>25.4596328069352</v>
      </c>
      <c r="AO72" s="4">
        <f t="shared" si="87"/>
        <v>44.602008345999963</v>
      </c>
      <c r="AP72" s="56">
        <v>771.72568192100005</v>
      </c>
      <c r="AQ72" s="4">
        <f t="shared" si="75"/>
        <v>0.71965340043045489</v>
      </c>
      <c r="AR72" s="4">
        <f>SUMIFS($AP$3:$AP72,$D$3:$D72,D72)</f>
        <v>7405.355841081001</v>
      </c>
      <c r="AS72" s="4">
        <f t="shared" si="30"/>
        <v>9500.9378511460018</v>
      </c>
      <c r="AT72" s="97">
        <f t="shared" si="40"/>
        <v>5.0300717399847095E-2</v>
      </c>
      <c r="AU72" s="97">
        <f t="shared" si="41"/>
        <v>0.14125779240152592</v>
      </c>
      <c r="AV72" s="98">
        <f t="shared" si="65"/>
        <v>0.14305565590165958</v>
      </c>
      <c r="AW72" s="4">
        <v>411.64940448900006</v>
      </c>
      <c r="AX72" s="4">
        <f>SUMIFS($AW$3:$AW72,$D$3:$D72,D72)</f>
        <v>4007.3154867959997</v>
      </c>
      <c r="AY72" s="4">
        <f t="shared" si="31"/>
        <v>5096.6145549100002</v>
      </c>
      <c r="AZ72" s="97">
        <f t="shared" si="42"/>
        <v>0.16789412627460365</v>
      </c>
      <c r="BA72" s="97">
        <f t="shared" si="43"/>
        <v>0.20035062519037039</v>
      </c>
      <c r="BB72" s="97">
        <f t="shared" si="58"/>
        <v>0.19670429495711583</v>
      </c>
      <c r="BC72" s="4">
        <v>306.03833261300002</v>
      </c>
      <c r="BD72" s="4">
        <f t="shared" si="88"/>
        <v>105.61107187600004</v>
      </c>
      <c r="BE72" s="4">
        <v>71.170952099999994</v>
      </c>
      <c r="BF72" s="4">
        <v>16.513022138000004</v>
      </c>
      <c r="BG72" s="4">
        <f t="shared" si="76"/>
        <v>2.3749071239447788</v>
      </c>
      <c r="BH72" s="4">
        <f>Datos1[[#This Row],[Intereses]]/Datos1[[#This Row],[PIB nominal (miles de millones de G.)]]*100</f>
        <v>1.5398804019861021E-2</v>
      </c>
      <c r="BI72" s="4">
        <v>106.16197482100002</v>
      </c>
      <c r="BJ72" s="4">
        <v>117.172911661</v>
      </c>
      <c r="BK72" s="4">
        <v>49.057416712000006</v>
      </c>
      <c r="BL72" s="56">
        <f t="shared" si="77"/>
        <v>218.15571879499998</v>
      </c>
      <c r="BM72" s="56">
        <f>SUMIFS($BL$3:$BL72,$D$3:$D72,D72)</f>
        <v>2951.8394790419998</v>
      </c>
      <c r="BN72" s="56">
        <f t="shared" si="62"/>
        <v>2874.5865721820001</v>
      </c>
      <c r="BO72" s="100">
        <f t="shared" si="44"/>
        <v>-5.0453147820574973E-2</v>
      </c>
      <c r="BP72" s="100">
        <f t="shared" si="45"/>
        <v>0.28047373342565995</v>
      </c>
      <c r="BQ72" s="100">
        <f t="shared" si="53"/>
        <v>0.41981847624187996</v>
      </c>
      <c r="BR72" s="2">
        <f t="shared" si="78"/>
        <v>0.20343563591582434</v>
      </c>
      <c r="BS72" s="2">
        <f>+Datos1[[#This Row],[RON acumulado 12 meses]]/Datos1[[#This Row],[PIB nominal (miles de millones de G.)]]*100</f>
        <v>2.6806235038764341</v>
      </c>
      <c r="BT72" s="56">
        <v>85.901997723000008</v>
      </c>
      <c r="BU72" s="56">
        <f>SUMIFS($BT$3:$BT72,$D$3:$D72,D72)</f>
        <v>802.28044944599992</v>
      </c>
      <c r="BV72" s="56">
        <f t="shared" si="32"/>
        <v>1317.048219022</v>
      </c>
      <c r="BW72" s="100">
        <f t="shared" si="46"/>
        <v>-0.34429984205534825</v>
      </c>
      <c r="BX72" s="100">
        <f t="shared" si="47"/>
        <v>-0.20788431613537028</v>
      </c>
      <c r="BY72" s="100">
        <f t="shared" si="54"/>
        <v>-0.15524532504118638</v>
      </c>
      <c r="BZ72" s="56">
        <f t="shared" si="79"/>
        <v>12.354447577707283</v>
      </c>
      <c r="CA72" s="56">
        <f>Datos1[[#This Row],[Adquisición Neta de Activos no Financieros]]/Datos1[[#This Row],[PIB nominal (miles de millones de G.)]]*100</f>
        <v>8.0105750285830835E-2</v>
      </c>
      <c r="CB72" s="56">
        <f>+Datos1[[#This Row],[ANANF acumulado por año]]/Datos1[[#This Row],[PIB nominal (miles de millones de G.)]]*100</f>
        <v>0.74814648140968698</v>
      </c>
      <c r="CC72" s="56">
        <f>+Datos1[[#This Row],[ANANF acumulado 12 meses]]/Datos1[[#This Row],[PIB nominal (miles de millones de G.)]]*100</f>
        <v>1.2281802349647384</v>
      </c>
      <c r="CD72" s="4">
        <v>45.698800129999995</v>
      </c>
      <c r="CE72" s="4">
        <f t="shared" si="80"/>
        <v>6.57241327949981</v>
      </c>
      <c r="CF72" s="4">
        <f t="shared" si="81"/>
        <v>40.203197593000013</v>
      </c>
      <c r="CG72" s="4">
        <f t="shared" si="82"/>
        <v>5.7820342982074724</v>
      </c>
      <c r="CH72" s="56">
        <f t="shared" si="83"/>
        <v>132.25372107199996</v>
      </c>
      <c r="CI72" s="56">
        <f>SUMIFS($CH$3:$CH72,$D$3:$D72,D72)</f>
        <v>2149.5590295960001</v>
      </c>
      <c r="CJ72" s="56">
        <f t="shared" si="63"/>
        <v>1557.5383531600003</v>
      </c>
      <c r="CK72" s="56">
        <f>Datos1[[#This Row],[Resultado Fiscal (miles de millones de G.)]]*1000/$F$207</f>
        <v>19.020764443796711</v>
      </c>
      <c r="CL72" s="56">
        <f t="shared" si="33"/>
        <v>224.00556965430883</v>
      </c>
      <c r="CM72" s="100">
        <f t="shared" si="48"/>
        <v>0.33942549533340993</v>
      </c>
      <c r="CN72" s="100">
        <f t="shared" si="49"/>
        <v>0.66318028810492224</v>
      </c>
      <c r="CO72" s="100">
        <f t="shared" si="55"/>
        <v>2.345760424281031</v>
      </c>
      <c r="CP72" s="4">
        <f t="shared" si="84"/>
        <v>0.12332988562999349</v>
      </c>
      <c r="CQ72" s="4">
        <f t="shared" si="64"/>
        <v>1.4524432689116957</v>
      </c>
      <c r="CR72" s="73">
        <v>442.60152834000002</v>
      </c>
      <c r="CS72" s="113">
        <f>SUM(Datos1[[#This Row],[FFPP]:[MTESS]])</f>
        <v>0</v>
      </c>
      <c r="CT72" s="113"/>
      <c r="CU72" s="113"/>
      <c r="CV72" s="113"/>
      <c r="CW72" s="113"/>
      <c r="CX72" s="113"/>
      <c r="CY72" s="113"/>
      <c r="CZ72" s="113"/>
    </row>
    <row r="73" spans="1:104">
      <c r="A73">
        <v>71</v>
      </c>
      <c r="B73" s="3">
        <v>39753</v>
      </c>
      <c r="C73" s="14" t="str">
        <f t="shared" si="66"/>
        <v>Noviembre</v>
      </c>
      <c r="D73" s="14">
        <f t="shared" si="85"/>
        <v>2008</v>
      </c>
      <c r="E73" s="15">
        <f t="shared" si="67"/>
        <v>107235.74452082052</v>
      </c>
      <c r="F73" s="15">
        <f t="shared" si="68"/>
        <v>4363.0665456320312</v>
      </c>
      <c r="G73" s="56">
        <v>1208.7742741490001</v>
      </c>
      <c r="H73" s="4">
        <f t="shared" si="86"/>
        <v>1.1272120873038829</v>
      </c>
      <c r="I73" s="4">
        <f>SUMIFS($G$3:$G73,$D$3:$D73,D73)</f>
        <v>11565.969594272003</v>
      </c>
      <c r="J73" s="2">
        <f t="shared" si="27"/>
        <v>12573.006627996001</v>
      </c>
      <c r="K73" s="95">
        <f t="shared" si="34"/>
        <v>0.17955939275707733</v>
      </c>
      <c r="L73" s="95">
        <f t="shared" si="35"/>
        <v>0.19527712184013146</v>
      </c>
      <c r="M73" s="95">
        <f t="shared" si="50"/>
        <v>0.1933454811920865</v>
      </c>
      <c r="N73" s="4">
        <v>760.10001637400012</v>
      </c>
      <c r="O73" s="4">
        <f t="shared" si="69"/>
        <v>0.70881217803865926</v>
      </c>
      <c r="P73" s="4">
        <f>SUMIFS($N$3:$N73,$D$3:$D73,D73)</f>
        <v>8010.2547195809993</v>
      </c>
      <c r="Q73" s="4">
        <f t="shared" si="61"/>
        <v>8598.2436142300012</v>
      </c>
      <c r="R73" s="97">
        <f t="shared" si="36"/>
        <v>6.01009913769186E-2</v>
      </c>
      <c r="S73" s="97">
        <f t="shared" si="37"/>
        <v>0.24563681547114546</v>
      </c>
      <c r="T73" s="97">
        <f t="shared" si="51"/>
        <v>0.2428998451804667</v>
      </c>
      <c r="U73" s="4">
        <v>373.22998389200001</v>
      </c>
      <c r="V73" s="4">
        <f t="shared" si="28"/>
        <v>3785.3559271497998</v>
      </c>
      <c r="W73" s="97">
        <f t="shared" si="56"/>
        <v>0.21005144755735983</v>
      </c>
      <c r="X73" s="97">
        <f t="shared" si="38"/>
        <v>0.12752116468911034</v>
      </c>
      <c r="Y73" s="4">
        <v>390.94126365700004</v>
      </c>
      <c r="Z73" s="4">
        <f t="shared" si="29"/>
        <v>4635.797634657667</v>
      </c>
      <c r="AA73" s="97">
        <f t="shared" si="57"/>
        <v>0.20400137661315432</v>
      </c>
      <c r="AB73" s="97">
        <f t="shared" si="39"/>
        <v>9.7795257793505286E-2</v>
      </c>
      <c r="AC73" s="4">
        <v>69.234032013999993</v>
      </c>
      <c r="AD73" s="4">
        <f t="shared" si="70"/>
        <v>6.4562457530714268E-2</v>
      </c>
      <c r="AE73" s="4">
        <v>21.892250569000005</v>
      </c>
      <c r="AF73" s="4">
        <f t="shared" si="71"/>
        <v>2.0415068377456439E-2</v>
      </c>
      <c r="AG73" s="4">
        <v>357.54797519200002</v>
      </c>
      <c r="AH73" s="4">
        <f t="shared" si="72"/>
        <v>81.948778789530436</v>
      </c>
      <c r="AI73" s="4">
        <v>126.623489667</v>
      </c>
      <c r="AJ73" s="4">
        <f t="shared" si="73"/>
        <v>18.211023103813773</v>
      </c>
      <c r="AK73" s="101">
        <f>SUMIFS($AJ$3:$AJ73,$D$3:$D73,D73)</f>
        <v>184.50945272920509</v>
      </c>
      <c r="AL73" s="4">
        <v>194.1</v>
      </c>
      <c r="AM73" s="4">
        <f t="shared" si="74"/>
        <v>27.915512309336279</v>
      </c>
      <c r="AN73" s="101">
        <f>SUMIFS($AM$3:$AM73,$D$3:$D73,D73)</f>
        <v>53.375145116271483</v>
      </c>
      <c r="AO73" s="4">
        <f t="shared" si="87"/>
        <v>36.824485525000028</v>
      </c>
      <c r="AP73" s="56">
        <v>822.004882694</v>
      </c>
      <c r="AQ73" s="4">
        <f t="shared" si="75"/>
        <v>0.76654000619579088</v>
      </c>
      <c r="AR73" s="4">
        <f>SUMIFS($AP$3:$AP73,$D$3:$D73,D73)</f>
        <v>8227.3607237750002</v>
      </c>
      <c r="AS73" s="4">
        <f t="shared" si="30"/>
        <v>9543.0677818400018</v>
      </c>
      <c r="AT73" s="97">
        <f t="shared" si="40"/>
        <v>5.402139225776792E-2</v>
      </c>
      <c r="AU73" s="97">
        <f t="shared" si="41"/>
        <v>0.13189793063886834</v>
      </c>
      <c r="AV73" s="98">
        <f t="shared" si="65"/>
        <v>0.12329609026334487</v>
      </c>
      <c r="AW73" s="4">
        <v>426.79484112599999</v>
      </c>
      <c r="AX73" s="4">
        <f>SUMIFS($AW$3:$AW73,$D$3:$D73,D73)</f>
        <v>4434.1103279219997</v>
      </c>
      <c r="AY73" s="4">
        <f t="shared" si="31"/>
        <v>5138.6513903180003</v>
      </c>
      <c r="AZ73" s="97">
        <f t="shared" si="42"/>
        <v>0.10925525858663998</v>
      </c>
      <c r="BA73" s="97">
        <f t="shared" si="43"/>
        <v>0.1909367990566142</v>
      </c>
      <c r="BB73" s="97">
        <f t="shared" si="58"/>
        <v>0.1851079981191277</v>
      </c>
      <c r="BC73" s="4">
        <v>309.74574594900002</v>
      </c>
      <c r="BD73" s="4">
        <f t="shared" si="88"/>
        <v>117.04909517699997</v>
      </c>
      <c r="BE73" s="4">
        <v>109.16437908199998</v>
      </c>
      <c r="BF73" s="4">
        <v>20.134359923000002</v>
      </c>
      <c r="BG73" s="4">
        <f t="shared" si="76"/>
        <v>2.8957288628084159</v>
      </c>
      <c r="BH73" s="4">
        <f>Datos1[[#This Row],[Intereses]]/Datos1[[#This Row],[PIB nominal (miles de millones de G.)]]*100</f>
        <v>1.8775791610315892E-2</v>
      </c>
      <c r="BI73" s="4">
        <v>114.50930517799999</v>
      </c>
      <c r="BJ73" s="4">
        <v>120.029131487</v>
      </c>
      <c r="BK73" s="4">
        <v>31.372865898000004</v>
      </c>
      <c r="BL73" s="56">
        <f t="shared" si="77"/>
        <v>386.76939145500012</v>
      </c>
      <c r="BM73" s="56">
        <f>SUMIFS($BL$3:$BL73,$D$3:$D73,D73)</f>
        <v>3338.6088704969998</v>
      </c>
      <c r="BN73" s="56">
        <f t="shared" si="62"/>
        <v>3029.9388461560002</v>
      </c>
      <c r="BO73" s="100">
        <f t="shared" si="44"/>
        <v>0.67130848255749709</v>
      </c>
      <c r="BP73" s="100">
        <f t="shared" si="45"/>
        <v>0.31612882089531835</v>
      </c>
      <c r="BQ73" s="100">
        <f t="shared" si="53"/>
        <v>0.48501839052572615</v>
      </c>
      <c r="BR73" s="2">
        <f t="shared" si="78"/>
        <v>0.36067208110809201</v>
      </c>
      <c r="BS73" s="2">
        <f>+Datos1[[#This Row],[RON acumulado 12 meses]]/Datos1[[#This Row],[PIB nominal (miles de millones de G.)]]*100</f>
        <v>2.8254933648245597</v>
      </c>
      <c r="BT73" s="56">
        <v>161.28281733100005</v>
      </c>
      <c r="BU73" s="56">
        <f>SUMIFS($BT$3:$BT73,$D$3:$D73,D73)</f>
        <v>963.56326677699997</v>
      </c>
      <c r="BV73" s="56">
        <f t="shared" si="32"/>
        <v>1311.563634099</v>
      </c>
      <c r="BW73" s="100">
        <f t="shared" si="46"/>
        <v>-3.2887631808562245E-2</v>
      </c>
      <c r="BX73" s="100">
        <f t="shared" si="47"/>
        <v>-0.18314394083259633</v>
      </c>
      <c r="BY73" s="100">
        <f t="shared" si="54"/>
        <v>-0.14190198516539154</v>
      </c>
      <c r="BZ73" s="56">
        <f t="shared" si="79"/>
        <v>23.195736591900911</v>
      </c>
      <c r="CA73" s="56">
        <f>Datos1[[#This Row],[Adquisición Neta de Activos no Financieros]]/Datos1[[#This Row],[PIB nominal (miles de millones de G.)]]*100</f>
        <v>0.15040024019200607</v>
      </c>
      <c r="CB73" s="56">
        <f>+Datos1[[#This Row],[ANANF acumulado por año]]/Datos1[[#This Row],[PIB nominal (miles de millones de G.)]]*100</f>
        <v>0.89854672160169302</v>
      </c>
      <c r="CC73" s="56">
        <f>+Datos1[[#This Row],[ANANF acumulado 12 meses]]/Datos1[[#This Row],[PIB nominal (miles de millones de G.)]]*100</f>
        <v>1.223065723056878</v>
      </c>
      <c r="CD73" s="4">
        <v>73.119611266999996</v>
      </c>
      <c r="CE73" s="4">
        <f t="shared" si="80"/>
        <v>10.516081444501918</v>
      </c>
      <c r="CF73" s="4">
        <f t="shared" si="81"/>
        <v>88.16320606400005</v>
      </c>
      <c r="CG73" s="4">
        <f t="shared" si="82"/>
        <v>12.679655147398993</v>
      </c>
      <c r="CH73" s="56">
        <f t="shared" si="83"/>
        <v>225.48657412400007</v>
      </c>
      <c r="CI73" s="56">
        <f>SUMIFS($CH$3:$CH73,$D$3:$D73,D73)</f>
        <v>2375.0456037200001</v>
      </c>
      <c r="CJ73" s="56">
        <f t="shared" si="63"/>
        <v>1718.3752120570002</v>
      </c>
      <c r="CK73" s="56">
        <f>Datos1[[#This Row],[Resultado Fiscal (miles de millones de G.)]]*1000/$F$207</f>
        <v>32.429537535026228</v>
      </c>
      <c r="CL73" s="56">
        <f t="shared" si="33"/>
        <v>247.13716838864264</v>
      </c>
      <c r="CM73" s="100">
        <f t="shared" si="48"/>
        <v>2.4878200674552846</v>
      </c>
      <c r="CN73" s="100">
        <f t="shared" si="49"/>
        <v>0.75010345151358693</v>
      </c>
      <c r="CO73" s="100">
        <f t="shared" si="55"/>
        <v>2.3569670506779037</v>
      </c>
      <c r="CP73" s="4">
        <f t="shared" si="84"/>
        <v>0.21027184091608597</v>
      </c>
      <c r="CQ73" s="4">
        <f t="shared" si="64"/>
        <v>1.6024276417676817</v>
      </c>
      <c r="CR73" s="73">
        <v>453.55856903599999</v>
      </c>
      <c r="CS73" s="113">
        <f>SUM(Datos1[[#This Row],[FFPP]:[MTESS]])</f>
        <v>0</v>
      </c>
      <c r="CT73" s="113"/>
      <c r="CU73" s="113"/>
      <c r="CV73" s="113"/>
      <c r="CW73" s="113"/>
      <c r="CX73" s="113"/>
      <c r="CY73" s="113"/>
      <c r="CZ73" s="113"/>
    </row>
    <row r="74" spans="1:104">
      <c r="A74">
        <v>72</v>
      </c>
      <c r="B74" s="3">
        <v>39783</v>
      </c>
      <c r="C74" s="14" t="str">
        <f t="shared" si="66"/>
        <v>Diciembre</v>
      </c>
      <c r="D74" s="14">
        <f t="shared" si="85"/>
        <v>2008</v>
      </c>
      <c r="E74" s="15">
        <f t="shared" si="67"/>
        <v>107235.74452082052</v>
      </c>
      <c r="F74" s="15">
        <f t="shared" si="68"/>
        <v>4363.0665456320312</v>
      </c>
      <c r="G74" s="56">
        <v>1153.1431435940003</v>
      </c>
      <c r="H74" s="4">
        <f t="shared" si="86"/>
        <v>1.0753346738503877</v>
      </c>
      <c r="I74" s="4">
        <f>SUMIFS($G$3:$G74,$D$3:$D74,D74)</f>
        <v>12719.112737866002</v>
      </c>
      <c r="J74" s="2">
        <f t="shared" si="27"/>
        <v>12719.112737866002</v>
      </c>
      <c r="K74" s="95">
        <f t="shared" si="34"/>
        <v>0.17634854660865962</v>
      </c>
      <c r="L74" s="95">
        <f t="shared" si="35"/>
        <v>0.14508514084105051</v>
      </c>
      <c r="M74" s="95">
        <f t="shared" si="50"/>
        <v>0.17634854660865962</v>
      </c>
      <c r="N74" s="4">
        <v>645.72799703200008</v>
      </c>
      <c r="O74" s="4">
        <f t="shared" si="69"/>
        <v>0.60215742420348262</v>
      </c>
      <c r="P74" s="4">
        <f>SUMIFS($N$3:$N74,$D$3:$D74,D74)</f>
        <v>8655.9827166129999</v>
      </c>
      <c r="Q74" s="4">
        <f t="shared" si="61"/>
        <v>8655.9827166129999</v>
      </c>
      <c r="R74" s="97">
        <f t="shared" si="36"/>
        <v>9.8197606976008212E-2</v>
      </c>
      <c r="S74" s="97">
        <f t="shared" si="37"/>
        <v>0.23328504538602934</v>
      </c>
      <c r="T74" s="97">
        <f t="shared" si="51"/>
        <v>0.23328504538602934</v>
      </c>
      <c r="U74" s="4">
        <v>246.49838849999995</v>
      </c>
      <c r="V74" s="4">
        <f t="shared" si="28"/>
        <v>3799.5117046547998</v>
      </c>
      <c r="W74" s="97">
        <f t="shared" si="56"/>
        <v>0.19687809247974153</v>
      </c>
      <c r="X74" s="97">
        <f t="shared" si="38"/>
        <v>6.0926308111879823E-2</v>
      </c>
      <c r="Y74" s="4">
        <v>366.94277503200004</v>
      </c>
      <c r="Z74" s="4">
        <f t="shared" si="29"/>
        <v>4681.256769306</v>
      </c>
      <c r="AA74" s="97">
        <f t="shared" si="57"/>
        <v>0.21955508884243757</v>
      </c>
      <c r="AB74" s="97">
        <f t="shared" si="39"/>
        <v>0.14140419274237814</v>
      </c>
      <c r="AC74" s="4">
        <v>137.97886439500002</v>
      </c>
      <c r="AD74" s="4">
        <f t="shared" si="70"/>
        <v>0.1286687242314157</v>
      </c>
      <c r="AE74" s="4">
        <v>85.473133856999993</v>
      </c>
      <c r="AF74" s="4">
        <f t="shared" si="71"/>
        <v>7.9705824059816938E-2</v>
      </c>
      <c r="AG74" s="4">
        <v>283.96314831000007</v>
      </c>
      <c r="AH74" s="4">
        <f t="shared" si="72"/>
        <v>65.083386957341347</v>
      </c>
      <c r="AI74" s="4">
        <v>136.34448594699998</v>
      </c>
      <c r="AJ74" s="4">
        <f t="shared" si="73"/>
        <v>19.609099308416308</v>
      </c>
      <c r="AK74" s="101">
        <f>SUMIFS($AJ$3:$AJ74,$D$3:$D74,D74)</f>
        <v>204.11855203762141</v>
      </c>
      <c r="AL74" s="4">
        <v>82.62</v>
      </c>
      <c r="AM74" s="4">
        <f t="shared" si="74"/>
        <v>11.882429814515008</v>
      </c>
      <c r="AN74" s="101">
        <f>SUMIFS($AM$3:$AM74,$D$3:$D74,D74)</f>
        <v>65.25757493078649</v>
      </c>
      <c r="AO74" s="4">
        <f t="shared" si="87"/>
        <v>64.998662363000079</v>
      </c>
      <c r="AP74" s="56">
        <v>1452.4623545049999</v>
      </c>
      <c r="AQ74" s="4">
        <f t="shared" si="75"/>
        <v>1.3544572856702597</v>
      </c>
      <c r="AR74" s="4">
        <f>SUMIFS($AP$3:$AP74,$D$3:$D74,D74)</f>
        <v>9679.8230782800001</v>
      </c>
      <c r="AS74" s="4">
        <f t="shared" si="30"/>
        <v>9679.8230782800001</v>
      </c>
      <c r="AT74" s="97">
        <f t="shared" si="40"/>
        <v>0.10394053570034445</v>
      </c>
      <c r="AU74" s="97">
        <f t="shared" si="41"/>
        <v>0.12761295317223942</v>
      </c>
      <c r="AV74" s="98">
        <f t="shared" si="65"/>
        <v>0.12761295317223942</v>
      </c>
      <c r="AW74" s="4">
        <v>787.60097884300001</v>
      </c>
      <c r="AX74" s="4">
        <f>SUMIFS($AW$3:$AW74,$D$3:$D74,D74)</f>
        <v>5221.7113067649998</v>
      </c>
      <c r="AY74" s="4">
        <f t="shared" si="31"/>
        <v>5221.7113067649998</v>
      </c>
      <c r="AZ74" s="97">
        <f t="shared" si="42"/>
        <v>0.11789222925421905</v>
      </c>
      <c r="BA74" s="97">
        <f t="shared" si="43"/>
        <v>0.17931399700407669</v>
      </c>
      <c r="BB74" s="97">
        <f t="shared" si="58"/>
        <v>0.17931399700407669</v>
      </c>
      <c r="BC74" s="4">
        <v>307.44806939799997</v>
      </c>
      <c r="BD74" s="4">
        <f t="shared" si="88"/>
        <v>480.15290944500003</v>
      </c>
      <c r="BE74" s="4">
        <v>101.96899973699999</v>
      </c>
      <c r="BF74" s="4">
        <v>54.854190760999998</v>
      </c>
      <c r="BG74" s="4">
        <f t="shared" si="76"/>
        <v>7.889143933062214</v>
      </c>
      <c r="BH74" s="4">
        <f>Datos1[[#This Row],[Intereses]]/Datos1[[#This Row],[PIB nominal (miles de millones de G.)]]*100</f>
        <v>5.1152897763813911E-2</v>
      </c>
      <c r="BI74" s="4">
        <v>277.38971373599998</v>
      </c>
      <c r="BJ74" s="4">
        <v>194.740625384</v>
      </c>
      <c r="BK74" s="4">
        <v>35.907846044000003</v>
      </c>
      <c r="BL74" s="56">
        <f t="shared" si="77"/>
        <v>-299.31921091099957</v>
      </c>
      <c r="BM74" s="56">
        <f>SUMIFS($BL$3:$BL74,$D$3:$D74,D74)</f>
        <v>3039.2896595860002</v>
      </c>
      <c r="BN74" s="56">
        <f t="shared" si="62"/>
        <v>3039.2896595860002</v>
      </c>
      <c r="BO74" s="100">
        <f t="shared" si="44"/>
        <v>-3.0293882439552777E-2</v>
      </c>
      <c r="BP74" s="100">
        <f t="shared" si="45"/>
        <v>0.3641222753887472</v>
      </c>
      <c r="BQ74" s="100">
        <f t="shared" si="53"/>
        <v>0.3641222753887472</v>
      </c>
      <c r="BR74" s="2">
        <f t="shared" si="78"/>
        <v>-0.27912261181987208</v>
      </c>
      <c r="BS74" s="2">
        <f>+Datos1[[#This Row],[RON acumulado 12 meses]]/Datos1[[#This Row],[PIB nominal (miles de millones de G.)]]*100</f>
        <v>2.8342132310144983</v>
      </c>
      <c r="BT74" s="56">
        <v>283.39011580400006</v>
      </c>
      <c r="BU74" s="56">
        <f>SUMIFS($BT$3:$BT74,$D$3:$D74,D74)</f>
        <v>1246.9533825809999</v>
      </c>
      <c r="BV74" s="56">
        <f t="shared" si="32"/>
        <v>1246.9533825809999</v>
      </c>
      <c r="BW74" s="100">
        <f t="shared" si="46"/>
        <v>-0.1856614463231786</v>
      </c>
      <c r="BX74" s="100">
        <f t="shared" si="47"/>
        <v>-0.18371745007815887</v>
      </c>
      <c r="BY74" s="100">
        <f t="shared" si="54"/>
        <v>-0.18371745007815887</v>
      </c>
      <c r="BZ74" s="56">
        <f t="shared" si="79"/>
        <v>40.757239907629042</v>
      </c>
      <c r="CA74" s="56">
        <f>Datos1[[#This Row],[Adquisición Neta de Activos no Financieros]]/Datos1[[#This Row],[PIB nominal (miles de millones de G.)]]*100</f>
        <v>0.26426833428566165</v>
      </c>
      <c r="CB74" s="56">
        <f>+Datos1[[#This Row],[ANANF acumulado por año]]/Datos1[[#This Row],[PIB nominal (miles de millones de G.)]]*100</f>
        <v>1.1628150558873547</v>
      </c>
      <c r="CC74" s="56">
        <f>+Datos1[[#This Row],[ANANF acumulado 12 meses]]/Datos1[[#This Row],[PIB nominal (miles de millones de G.)]]*100</f>
        <v>1.1628150558873547</v>
      </c>
      <c r="CD74" s="4">
        <v>131.17334401100001</v>
      </c>
      <c r="CE74" s="4">
        <f t="shared" si="80"/>
        <v>18.865384334857666</v>
      </c>
      <c r="CF74" s="4">
        <f t="shared" si="81"/>
        <v>152.21677179300005</v>
      </c>
      <c r="CG74" s="4">
        <f t="shared" si="82"/>
        <v>21.891855572771377</v>
      </c>
      <c r="CH74" s="56">
        <f t="shared" si="83"/>
        <v>-582.70932671499963</v>
      </c>
      <c r="CI74" s="56">
        <f>SUMIFS($CH$3:$CH74,$D$3:$D74,D74)</f>
        <v>1792.3362770050005</v>
      </c>
      <c r="CJ74" s="56">
        <f t="shared" si="63"/>
        <v>1792.3362770050005</v>
      </c>
      <c r="CK74" s="56">
        <f>Datos1[[#This Row],[Resultado Fiscal (miles de millones de G.)]]*1000/$F$207</f>
        <v>-83.805406402254647</v>
      </c>
      <c r="CL74" s="56">
        <f t="shared" si="33"/>
        <v>257.77426791964479</v>
      </c>
      <c r="CM74" s="100">
        <f t="shared" si="48"/>
        <v>-0.1126304244671299</v>
      </c>
      <c r="CN74" s="100">
        <f t="shared" si="49"/>
        <v>1.558951238674799</v>
      </c>
      <c r="CO74" s="100">
        <f t="shared" si="55"/>
        <v>1.558951238674799</v>
      </c>
      <c r="CP74" s="4">
        <f t="shared" si="84"/>
        <v>-0.54339094610553373</v>
      </c>
      <c r="CQ74" s="4">
        <f t="shared" si="64"/>
        <v>1.6713981751271441</v>
      </c>
      <c r="CR74" s="73">
        <v>844.91124159399999</v>
      </c>
      <c r="CS74" s="113">
        <f>SUM(Datos1[[#This Row],[FFPP]:[MTESS]])</f>
        <v>0</v>
      </c>
      <c r="CT74" s="113"/>
      <c r="CU74" s="113"/>
      <c r="CV74" s="113"/>
      <c r="CW74" s="113"/>
      <c r="CX74" s="113"/>
      <c r="CY74" s="113"/>
      <c r="CZ74" s="113"/>
    </row>
    <row r="75" spans="1:104">
      <c r="A75">
        <v>73</v>
      </c>
      <c r="B75" s="76">
        <v>39814</v>
      </c>
      <c r="C75" s="14" t="str">
        <f t="shared" si="66"/>
        <v>Enero</v>
      </c>
      <c r="D75" s="14">
        <f t="shared" si="85"/>
        <v>2009</v>
      </c>
      <c r="E75" s="15">
        <f t="shared" si="67"/>
        <v>110962.162519976</v>
      </c>
      <c r="F75" s="15">
        <f t="shared" si="68"/>
        <v>4966.582265838344</v>
      </c>
      <c r="G75" s="56">
        <v>940.72586127900001</v>
      </c>
      <c r="H75" s="4">
        <f t="shared" si="86"/>
        <v>0.84778976897610969</v>
      </c>
      <c r="I75" s="4">
        <f>SUMIFS($G$3:$G75,$D$3:$D75,D75)</f>
        <v>940.72586127900001</v>
      </c>
      <c r="J75" s="2">
        <f t="shared" si="27"/>
        <v>12625.422707645001</v>
      </c>
      <c r="K75" s="95">
        <f t="shared" si="34"/>
        <v>-9.0572883683312955E-2</v>
      </c>
      <c r="L75" s="95">
        <f t="shared" si="35"/>
        <v>-9.0572883683312955E-2</v>
      </c>
      <c r="M75" s="95">
        <f t="shared" si="50"/>
        <v>0.14130066780862727</v>
      </c>
      <c r="N75" s="4">
        <v>601.88127809000002</v>
      </c>
      <c r="O75" s="4">
        <f t="shared" si="69"/>
        <v>0.54242028491617233</v>
      </c>
      <c r="P75" s="4">
        <f>SUMIFS($N$3:$N75,$D$3:$D75,D75)</f>
        <v>601.88127809000002</v>
      </c>
      <c r="Q75" s="4">
        <f t="shared" si="61"/>
        <v>8625.4216009000011</v>
      </c>
      <c r="R75" s="97">
        <f t="shared" si="36"/>
        <v>-4.8322370562842942E-2</v>
      </c>
      <c r="S75" s="97">
        <f t="shared" si="37"/>
        <v>-4.8322370562842942E-2</v>
      </c>
      <c r="T75" s="97">
        <f t="shared" si="51"/>
        <v>0.21522677906339927</v>
      </c>
      <c r="U75" s="4">
        <v>311.98086993300001</v>
      </c>
      <c r="V75" s="4">
        <f t="shared" si="28"/>
        <v>3857.2379103588</v>
      </c>
      <c r="W75" s="97">
        <f t="shared" si="56"/>
        <v>0.20823474598918779</v>
      </c>
      <c r="X75" s="97">
        <f t="shared" si="38"/>
        <v>0.22704089177301245</v>
      </c>
      <c r="Y75" s="4">
        <v>330.56002752133338</v>
      </c>
      <c r="Z75" s="4">
        <f t="shared" si="29"/>
        <v>4650.124686975334</v>
      </c>
      <c r="AA75" s="97">
        <f t="shared" si="57"/>
        <v>0.19517021877444418</v>
      </c>
      <c r="AB75" s="97">
        <f t="shared" si="39"/>
        <v>-8.6073435064440318E-2</v>
      </c>
      <c r="AC75" s="4">
        <v>6.3281085300000006</v>
      </c>
      <c r="AD75" s="4">
        <f t="shared" si="70"/>
        <v>5.7029426845036308E-3</v>
      </c>
      <c r="AE75" s="4">
        <v>3.149718182</v>
      </c>
      <c r="AF75" s="4">
        <f t="shared" si="71"/>
        <v>2.8385515480855656E-3</v>
      </c>
      <c r="AG75" s="4">
        <v>329.36675647699997</v>
      </c>
      <c r="AH75" s="4">
        <f t="shared" si="72"/>
        <v>66.316581272092122</v>
      </c>
      <c r="AI75" s="4">
        <v>130.57840407200001</v>
      </c>
      <c r="AJ75" s="4">
        <f t="shared" si="73"/>
        <v>18.779819918626494</v>
      </c>
      <c r="AK75" s="101">
        <f>SUMIFS($AJ$3:$AJ75,$D$3:$D75,D75)</f>
        <v>18.779819918626494</v>
      </c>
      <c r="AL75" s="4">
        <v>164.46</v>
      </c>
      <c r="AM75" s="4">
        <f t="shared" si="74"/>
        <v>23.652679826859579</v>
      </c>
      <c r="AN75" s="101">
        <f>SUMIFS($AM$3:$AM75,$D$3:$D75,D75)</f>
        <v>23.652679826859579</v>
      </c>
      <c r="AO75" s="4">
        <f t="shared" si="87"/>
        <v>34.328352404999947</v>
      </c>
      <c r="AP75" s="56">
        <v>644.78271129300003</v>
      </c>
      <c r="AQ75" s="4">
        <f t="shared" si="75"/>
        <v>0.58108340415312543</v>
      </c>
      <c r="AR75" s="4">
        <f>SUMIFS($AP$3:$AP75,$D$3:$D75,D75)</f>
        <v>644.78271129300003</v>
      </c>
      <c r="AS75" s="4">
        <f t="shared" si="30"/>
        <v>9713.4651909500008</v>
      </c>
      <c r="AT75" s="97">
        <f t="shared" si="40"/>
        <v>5.5048073627903538E-2</v>
      </c>
      <c r="AU75" s="97">
        <f t="shared" si="41"/>
        <v>5.5048073627903538E-2</v>
      </c>
      <c r="AV75" s="98">
        <f t="shared" si="65"/>
        <v>0.12238665129348836</v>
      </c>
      <c r="AW75" s="4">
        <v>416.82089053999994</v>
      </c>
      <c r="AX75" s="4">
        <f>SUMIFS($AW$3:$AW75,$D$3:$D75,D75)</f>
        <v>416.82089053999994</v>
      </c>
      <c r="AY75" s="4">
        <f t="shared" si="31"/>
        <v>5257.6371251359997</v>
      </c>
      <c r="AZ75" s="97">
        <f t="shared" si="42"/>
        <v>9.4319462224651485E-2</v>
      </c>
      <c r="BA75" s="97">
        <f t="shared" si="43"/>
        <v>9.4319462224651485E-2</v>
      </c>
      <c r="BB75" s="97">
        <f t="shared" si="58"/>
        <v>0.16764318413390389</v>
      </c>
      <c r="BC75" s="4">
        <v>325.49693840700002</v>
      </c>
      <c r="BD75" s="4">
        <f t="shared" si="88"/>
        <v>91.323952132999921</v>
      </c>
      <c r="BE75" s="4">
        <v>4.4804507570000007</v>
      </c>
      <c r="BF75" s="4">
        <v>53.976274990999997</v>
      </c>
      <c r="BG75" s="4">
        <f t="shared" si="76"/>
        <v>7.7628818594713049</v>
      </c>
      <c r="BH75" s="4">
        <f>Datos1[[#This Row],[Intereses]]/Datos1[[#This Row],[PIB nominal (miles de millones de G.)]]*100</f>
        <v>4.8643856396799134E-2</v>
      </c>
      <c r="BI75" s="4">
        <v>41.554823604999996</v>
      </c>
      <c r="BJ75" s="4">
        <v>123.69230318700002</v>
      </c>
      <c r="BK75" s="4">
        <v>4.2579682129999998</v>
      </c>
      <c r="BL75" s="56">
        <f t="shared" si="77"/>
        <v>295.94314998599998</v>
      </c>
      <c r="BM75" s="56">
        <f>SUMIFS($BL$3:$BL75,$D$3:$D75,D75)</f>
        <v>295.94314998599998</v>
      </c>
      <c r="BN75" s="56">
        <f t="shared" si="62"/>
        <v>2911.9575166950008</v>
      </c>
      <c r="BO75" s="100">
        <f t="shared" si="44"/>
        <v>-0.30082583376299632</v>
      </c>
      <c r="BP75" s="100">
        <f t="shared" si="45"/>
        <v>-0.30082583376299632</v>
      </c>
      <c r="BQ75" s="100">
        <f t="shared" si="53"/>
        <v>0.20927674953668829</v>
      </c>
      <c r="BR75" s="2">
        <f t="shared" si="78"/>
        <v>0.26670636482298432</v>
      </c>
      <c r="BS75" s="2">
        <f>+Datos1[[#This Row],[RON acumulado 12 meses]]/Datos1[[#This Row],[PIB nominal (miles de millones de G.)]]*100</f>
        <v>2.6242797099153279</v>
      </c>
      <c r="BT75" s="56">
        <v>2.4334052349999995</v>
      </c>
      <c r="BU75" s="56">
        <f>SUMIFS($BT$3:$BT75,$D$3:$D75,D75)</f>
        <v>2.4334052349999995</v>
      </c>
      <c r="BV75" s="56">
        <f t="shared" si="32"/>
        <v>1226.35626426</v>
      </c>
      <c r="BW75" s="100">
        <f t="shared" si="46"/>
        <v>-0.89433999496003469</v>
      </c>
      <c r="BX75" s="100">
        <f t="shared" si="47"/>
        <v>-0.89433999496003469</v>
      </c>
      <c r="BY75" s="100">
        <f t="shared" si="54"/>
        <v>-0.16357118008103677</v>
      </c>
      <c r="BZ75" s="56">
        <f t="shared" si="79"/>
        <v>0.34997297161898933</v>
      </c>
      <c r="CA75" s="56">
        <f>Datos1[[#This Row],[Adquisición Neta de Activos no Financieros]]/Datos1[[#This Row],[PIB nominal (miles de millones de G.)]]*100</f>
        <v>2.1930045158969616E-3</v>
      </c>
      <c r="CB75" s="56">
        <f>+Datos1[[#This Row],[ANANF acumulado por año]]/Datos1[[#This Row],[PIB nominal (miles de millones de G.)]]*100</f>
        <v>2.1930045158969616E-3</v>
      </c>
      <c r="CC75" s="56">
        <f>+Datos1[[#This Row],[ANANF acumulado 12 meses]]/Datos1[[#This Row],[PIB nominal (miles de millones de G.)]]*100</f>
        <v>1.1052022026330144</v>
      </c>
      <c r="CD75" s="4">
        <v>0.43937369899999995</v>
      </c>
      <c r="CE75" s="4">
        <f t="shared" si="80"/>
        <v>6.3190839272710519E-2</v>
      </c>
      <c r="CF75" s="4">
        <f t="shared" si="81"/>
        <v>1.9940315359999996</v>
      </c>
      <c r="CG75" s="4">
        <f t="shared" si="82"/>
        <v>0.28678213234627881</v>
      </c>
      <c r="CH75" s="56">
        <f t="shared" si="83"/>
        <v>293.50974475099997</v>
      </c>
      <c r="CI75" s="56">
        <f>SUMIFS($CH$3:$CH75,$D$3:$D75,D75)</f>
        <v>293.50974475099997</v>
      </c>
      <c r="CJ75" s="56">
        <f t="shared" si="63"/>
        <v>1685.6012524350003</v>
      </c>
      <c r="CK75" s="56">
        <f>Datos1[[#This Row],[Resultado Fiscal (miles de millones de G.)]]*1000/$F$207</f>
        <v>42.21264756572225</v>
      </c>
      <c r="CL75" s="56">
        <f t="shared" si="33"/>
        <v>242.42360902102988</v>
      </c>
      <c r="CM75" s="100">
        <f t="shared" si="48"/>
        <v>-0.26667437715943654</v>
      </c>
      <c r="CN75" s="100">
        <f t="shared" si="49"/>
        <v>-0.26667437715943654</v>
      </c>
      <c r="CO75" s="100">
        <f t="shared" si="55"/>
        <v>0.78969998627086557</v>
      </c>
      <c r="CP75" s="4">
        <f t="shared" si="84"/>
        <v>0.26451336030708739</v>
      </c>
      <c r="CQ75" s="4">
        <f t="shared" si="64"/>
        <v>1.5190775072823131</v>
      </c>
      <c r="CR75" s="73">
        <v>452.66488173300002</v>
      </c>
      <c r="CS75" s="113">
        <f>SUM(Datos1[[#This Row],[FFPP]:[MTESS]])</f>
        <v>0</v>
      </c>
      <c r="CT75" s="113"/>
      <c r="CU75" s="113"/>
      <c r="CV75" s="113"/>
      <c r="CW75" s="113"/>
      <c r="CX75" s="113"/>
      <c r="CY75" s="113"/>
      <c r="CZ75" s="113"/>
    </row>
    <row r="76" spans="1:104">
      <c r="A76">
        <v>74</v>
      </c>
      <c r="B76" s="3">
        <v>39845</v>
      </c>
      <c r="C76" s="14" t="str">
        <f t="shared" si="66"/>
        <v>Febrero</v>
      </c>
      <c r="D76" s="14">
        <f t="shared" si="85"/>
        <v>2009</v>
      </c>
      <c r="E76" s="15">
        <f t="shared" si="67"/>
        <v>110962.162519976</v>
      </c>
      <c r="F76" s="15">
        <f t="shared" si="68"/>
        <v>4966.582265838344</v>
      </c>
      <c r="G76" s="56">
        <v>936.44543586400005</v>
      </c>
      <c r="H76" s="4">
        <f t="shared" si="86"/>
        <v>0.84393221490741599</v>
      </c>
      <c r="I76" s="4">
        <f>SUMIFS($G$3:$G76,$D$3:$D76,D76)</f>
        <v>1877.1712971430002</v>
      </c>
      <c r="J76" s="2">
        <f t="shared" si="27"/>
        <v>12547.406453272</v>
      </c>
      <c r="K76" s="95">
        <f t="shared" si="34"/>
        <v>-8.3805048249115277E-2</v>
      </c>
      <c r="L76" s="95">
        <f t="shared" si="35"/>
        <v>-7.6904091227706806E-2</v>
      </c>
      <c r="M76" s="95">
        <f t="shared" si="50"/>
        <v>9.6234286746608166E-2</v>
      </c>
      <c r="N76" s="4">
        <v>600.30466626600003</v>
      </c>
      <c r="O76" s="4">
        <f t="shared" si="69"/>
        <v>0.5409994295649474</v>
      </c>
      <c r="P76" s="4">
        <f>SUMIFS($N$3:$N76,$D$3:$D76,D76)</f>
        <v>1202.1859443560002</v>
      </c>
      <c r="Q76" s="4">
        <f t="shared" si="61"/>
        <v>8546.7187624720009</v>
      </c>
      <c r="R76" s="97">
        <f t="shared" si="36"/>
        <v>-0.11590864295891401</v>
      </c>
      <c r="S76" s="97">
        <f t="shared" si="37"/>
        <v>-8.331538571639141E-2</v>
      </c>
      <c r="T76" s="97">
        <f t="shared" si="51"/>
        <v>0.16067311043090338</v>
      </c>
      <c r="U76" s="4">
        <v>246.69295531300006</v>
      </c>
      <c r="V76" s="4">
        <f t="shared" si="28"/>
        <v>3896.6933678877999</v>
      </c>
      <c r="W76" s="97">
        <f t="shared" si="56"/>
        <v>0.21157382131773783</v>
      </c>
      <c r="X76" s="97">
        <f t="shared" si="38"/>
        <v>0.19038763713564899</v>
      </c>
      <c r="Y76" s="4">
        <v>335.22376333733331</v>
      </c>
      <c r="Z76" s="4">
        <f t="shared" si="29"/>
        <v>4609.4442809326674</v>
      </c>
      <c r="AA76" s="97">
        <f t="shared" si="57"/>
        <v>0.15131257093929706</v>
      </c>
      <c r="AB76" s="97">
        <f t="shared" si="39"/>
        <v>-0.10822015118843509</v>
      </c>
      <c r="AC76" s="4">
        <v>92.366327411</v>
      </c>
      <c r="AD76" s="4">
        <f t="shared" si="70"/>
        <v>8.3241282715963399E-2</v>
      </c>
      <c r="AE76" s="4">
        <v>34.500920296999993</v>
      </c>
      <c r="AF76" s="4">
        <f t="shared" si="71"/>
        <v>3.1092508935907724E-2</v>
      </c>
      <c r="AG76" s="4">
        <v>209.27352188999998</v>
      </c>
      <c r="AH76" s="4">
        <f t="shared" si="72"/>
        <v>42.136324475977496</v>
      </c>
      <c r="AI76" s="4">
        <v>132.07897184699999</v>
      </c>
      <c r="AJ76" s="4">
        <f t="shared" si="73"/>
        <v>18.995631964963462</v>
      </c>
      <c r="AK76" s="101">
        <f>SUMIFS($AJ$3:$AJ76,$D$3:$D76,D76)</f>
        <v>37.775451883589952</v>
      </c>
      <c r="AL76" s="4">
        <v>0</v>
      </c>
      <c r="AM76" s="4">
        <f t="shared" si="74"/>
        <v>0</v>
      </c>
      <c r="AN76" s="101">
        <f>SUMIFS($AM$3:$AM76,$D$3:$D76,D76)</f>
        <v>23.652679826859579</v>
      </c>
      <c r="AO76" s="4">
        <f t="shared" si="87"/>
        <v>77.194550042999992</v>
      </c>
      <c r="AP76" s="56">
        <v>746.20260054200003</v>
      </c>
      <c r="AQ76" s="4">
        <f t="shared" si="75"/>
        <v>0.67248383015937041</v>
      </c>
      <c r="AR76" s="4">
        <f>SUMIFS($AP$3:$AP76,$D$3:$D76,D76)</f>
        <v>1390.9853118350002</v>
      </c>
      <c r="AS76" s="4">
        <f t="shared" si="30"/>
        <v>9775.3338906710014</v>
      </c>
      <c r="AT76" s="97">
        <f t="shared" si="40"/>
        <v>9.0407182293286592E-2</v>
      </c>
      <c r="AU76" s="97">
        <f t="shared" si="41"/>
        <v>7.3726509037416177E-2</v>
      </c>
      <c r="AV76" s="98">
        <f t="shared" si="65"/>
        <v>0.11343738244377444</v>
      </c>
      <c r="AW76" s="4">
        <v>442.11215306500003</v>
      </c>
      <c r="AX76" s="4">
        <f>SUMIFS($AW$3:$AW76,$D$3:$D76,D76)</f>
        <v>858.93304360499997</v>
      </c>
      <c r="AY76" s="4">
        <f t="shared" si="31"/>
        <v>5297.2351204089991</v>
      </c>
      <c r="AZ76" s="97">
        <f t="shared" si="42"/>
        <v>9.8376652116327623E-2</v>
      </c>
      <c r="BA76" s="97">
        <f t="shared" si="43"/>
        <v>9.6404038599034347E-2</v>
      </c>
      <c r="BB76" s="97">
        <f t="shared" si="58"/>
        <v>0.15848354860958902</v>
      </c>
      <c r="BC76" s="4">
        <v>325.80024952399998</v>
      </c>
      <c r="BD76" s="4">
        <f t="shared" si="88"/>
        <v>116.31190354100005</v>
      </c>
      <c r="BE76" s="4">
        <v>29.443965044000002</v>
      </c>
      <c r="BF76" s="4">
        <v>18.026888670000002</v>
      </c>
      <c r="BG76" s="4">
        <f t="shared" si="76"/>
        <v>2.5926318009604312</v>
      </c>
      <c r="BH76" s="4">
        <f>Datos1[[#This Row],[Intereses]]/Datos1[[#This Row],[PIB nominal (miles de millones de G.)]]*100</f>
        <v>1.624597814300411E-2</v>
      </c>
      <c r="BI76" s="4">
        <v>93.600041812000015</v>
      </c>
      <c r="BJ76" s="4">
        <v>127.625768714</v>
      </c>
      <c r="BK76" s="4">
        <v>35.393783237000001</v>
      </c>
      <c r="BL76" s="56">
        <f t="shared" si="77"/>
        <v>190.24283532200002</v>
      </c>
      <c r="BM76" s="56">
        <f>SUMIFS($BL$3:$BL76,$D$3:$D76,D76)</f>
        <v>486.185985308</v>
      </c>
      <c r="BN76" s="56">
        <f t="shared" si="62"/>
        <v>2772.0725626010008</v>
      </c>
      <c r="BO76" s="100">
        <f t="shared" si="44"/>
        <v>-0.4237297149126954</v>
      </c>
      <c r="BP76" s="100">
        <f t="shared" si="45"/>
        <v>-0.35468012179047437</v>
      </c>
      <c r="BQ76" s="100">
        <f t="shared" si="53"/>
        <v>3.9593241339424212E-2</v>
      </c>
      <c r="BR76" s="2">
        <f t="shared" si="78"/>
        <v>0.17144838474804552</v>
      </c>
      <c r="BS76" s="2">
        <f>+Datos1[[#This Row],[RON acumulado 12 meses]]/Datos1[[#This Row],[PIB nominal (miles de millones de G.)]]*100</f>
        <v>2.4982142557846756</v>
      </c>
      <c r="BT76" s="56">
        <v>39.361891436999997</v>
      </c>
      <c r="BU76" s="56">
        <f>SUMIFS($BT$3:$BT76,$D$3:$D76,D76)</f>
        <v>41.795296671999999</v>
      </c>
      <c r="BV76" s="56">
        <f t="shared" si="32"/>
        <v>1234.4520691480002</v>
      </c>
      <c r="BW76" s="100">
        <f t="shared" si="46"/>
        <v>0.25893246586240681</v>
      </c>
      <c r="BX76" s="100">
        <f t="shared" si="47"/>
        <v>-0.23024114044734434</v>
      </c>
      <c r="BY76" s="100">
        <f t="shared" si="54"/>
        <v>-0.16665183671679051</v>
      </c>
      <c r="BZ76" s="56">
        <f t="shared" si="79"/>
        <v>5.6610374287909924</v>
      </c>
      <c r="CA76" s="56">
        <f>Datos1[[#This Row],[Adquisición Neta de Activos no Financieros]]/Datos1[[#This Row],[PIB nominal (miles de millones de G.)]]*100</f>
        <v>3.5473255516189003E-2</v>
      </c>
      <c r="CB76" s="56">
        <f>+Datos1[[#This Row],[ANANF acumulado por año]]/Datos1[[#This Row],[PIB nominal (miles de millones de G.)]]*100</f>
        <v>3.7666260032085966E-2</v>
      </c>
      <c r="CC76" s="56">
        <f>+Datos1[[#This Row],[ANANF acumulado 12 meses]]/Datos1[[#This Row],[PIB nominal (miles de millones de G.)]]*100</f>
        <v>1.1124982075991603</v>
      </c>
      <c r="CD76" s="4">
        <v>31.988522150000001</v>
      </c>
      <c r="CE76" s="4">
        <f t="shared" si="80"/>
        <v>4.6005975468098983</v>
      </c>
      <c r="CF76" s="4">
        <f t="shared" si="81"/>
        <v>7.3733692869999956</v>
      </c>
      <c r="CG76" s="4">
        <f t="shared" si="82"/>
        <v>1.0604398819810945</v>
      </c>
      <c r="CH76" s="56">
        <f t="shared" si="83"/>
        <v>150.88094388500002</v>
      </c>
      <c r="CI76" s="56">
        <f>SUMIFS($CH$3:$CH76,$D$3:$D76,D76)</f>
        <v>444.39068863599999</v>
      </c>
      <c r="CJ76" s="56">
        <f t="shared" si="63"/>
        <v>1537.6204934530003</v>
      </c>
      <c r="CK76" s="56">
        <f>Datos1[[#This Row],[Resultado Fiscal (miles de millones de G.)]]*1000/$F$207</f>
        <v>21.699736456805741</v>
      </c>
      <c r="CL76" s="56">
        <f t="shared" si="33"/>
        <v>221.14097790868087</v>
      </c>
      <c r="CM76" s="100">
        <f t="shared" si="48"/>
        <v>-0.49514794823964003</v>
      </c>
      <c r="CN76" s="100">
        <f t="shared" si="49"/>
        <v>-0.36434476533283067</v>
      </c>
      <c r="CO76" s="100">
        <f t="shared" si="55"/>
        <v>0.29737168635011879</v>
      </c>
      <c r="CP76" s="4">
        <f t="shared" si="84"/>
        <v>0.13597512923185651</v>
      </c>
      <c r="CQ76" s="4">
        <f t="shared" si="64"/>
        <v>1.3857160481855151</v>
      </c>
      <c r="CR76" s="73">
        <v>476.89904574399998</v>
      </c>
      <c r="CS76" s="113">
        <f>SUM(Datos1[[#This Row],[FFPP]:[MTESS]])</f>
        <v>0</v>
      </c>
      <c r="CT76" s="113"/>
      <c r="CU76" s="113"/>
      <c r="CV76" s="113"/>
      <c r="CW76" s="113"/>
      <c r="CX76" s="113"/>
      <c r="CY76" s="113"/>
      <c r="CZ76" s="113"/>
    </row>
    <row r="77" spans="1:104">
      <c r="A77">
        <v>75</v>
      </c>
      <c r="B77" s="3">
        <v>39873</v>
      </c>
      <c r="C77" s="14" t="str">
        <f t="shared" si="66"/>
        <v>Marzo</v>
      </c>
      <c r="D77" s="14">
        <f t="shared" si="85"/>
        <v>2009</v>
      </c>
      <c r="E77" s="15">
        <f t="shared" si="67"/>
        <v>110962.162519976</v>
      </c>
      <c r="F77" s="15">
        <f t="shared" si="68"/>
        <v>4966.582265838344</v>
      </c>
      <c r="G77" s="56">
        <v>985.46210423200012</v>
      </c>
      <c r="H77" s="4">
        <f t="shared" si="86"/>
        <v>0.88810643362740149</v>
      </c>
      <c r="I77" s="4">
        <f>SUMIFS($G$3:$G77,$D$3:$D77,D77)</f>
        <v>2862.6334013750002</v>
      </c>
      <c r="J77" s="2">
        <f t="shared" si="27"/>
        <v>12539.930227188997</v>
      </c>
      <c r="K77" s="95">
        <f t="shared" si="34"/>
        <v>-5.8906428218440055E-2</v>
      </c>
      <c r="L77" s="95">
        <f t="shared" si="35"/>
        <v>-7.5293961918339036E-3</v>
      </c>
      <c r="M77" s="95">
        <f t="shared" si="50"/>
        <v>0.10167996172843252</v>
      </c>
      <c r="N77" s="4">
        <v>617.58399484600011</v>
      </c>
      <c r="O77" s="4">
        <f t="shared" si="69"/>
        <v>0.55657170049729277</v>
      </c>
      <c r="P77" s="4">
        <f>SUMIFS($N$3:$N77,$D$3:$D77,D77)</f>
        <v>1819.7699392020004</v>
      </c>
      <c r="Q77" s="4">
        <f t="shared" si="61"/>
        <v>8604.3253051220017</v>
      </c>
      <c r="R77" s="97">
        <f t="shared" si="36"/>
        <v>0.10287296823129433</v>
      </c>
      <c r="S77" s="97">
        <f t="shared" si="37"/>
        <v>-2.7603214985540525E-2</v>
      </c>
      <c r="T77" s="97">
        <f t="shared" si="51"/>
        <v>0.1697206798652251</v>
      </c>
      <c r="U77" s="4">
        <v>231.38207823700003</v>
      </c>
      <c r="V77" s="4">
        <f t="shared" si="28"/>
        <v>3908.2609107347998</v>
      </c>
      <c r="W77" s="97">
        <f t="shared" si="56"/>
        <v>0.19894312733330466</v>
      </c>
      <c r="X77" s="97">
        <f t="shared" si="38"/>
        <v>5.2624103435547021E-2</v>
      </c>
      <c r="Y77" s="4">
        <v>339.45667571633328</v>
      </c>
      <c r="Z77" s="4">
        <f t="shared" si="29"/>
        <v>4622.8525135629998</v>
      </c>
      <c r="AA77" s="97">
        <f t="shared" si="57"/>
        <v>0.15812286386403418</v>
      </c>
      <c r="AB77" s="97">
        <f t="shared" si="39"/>
        <v>4.1123437067898116E-2</v>
      </c>
      <c r="AC77" s="4">
        <v>91.445618342000003</v>
      </c>
      <c r="AD77" s="4">
        <f t="shared" si="70"/>
        <v>8.2411532242387106E-2</v>
      </c>
      <c r="AE77" s="4">
        <v>80.170305266</v>
      </c>
      <c r="AF77" s="4">
        <f t="shared" si="71"/>
        <v>7.2250128733357469E-2</v>
      </c>
      <c r="AG77" s="4">
        <v>196.26218577799997</v>
      </c>
      <c r="AH77" s="4">
        <f t="shared" si="72"/>
        <v>39.516547853833146</v>
      </c>
      <c r="AI77" s="4">
        <v>144.27900401799999</v>
      </c>
      <c r="AJ77" s="4">
        <f t="shared" si="73"/>
        <v>20.750243753958049</v>
      </c>
      <c r="AK77" s="101">
        <f>SUMIFS($AJ$3:$AJ77,$D$3:$D77,D77)</f>
        <v>58.525695637547997</v>
      </c>
      <c r="AL77" s="4">
        <v>0</v>
      </c>
      <c r="AM77" s="4">
        <f t="shared" si="74"/>
        <v>0</v>
      </c>
      <c r="AN77" s="101">
        <f>SUMIFS($AM$3:$AM77,$D$3:$D77,D77)</f>
        <v>23.652679826859579</v>
      </c>
      <c r="AO77" s="4">
        <f t="shared" si="87"/>
        <v>51.983181759999979</v>
      </c>
      <c r="AP77" s="56">
        <v>911.29042259000005</v>
      </c>
      <c r="AQ77" s="4">
        <f t="shared" si="75"/>
        <v>0.82126231311141284</v>
      </c>
      <c r="AR77" s="4">
        <f>SUMIFS($AP$3:$AP77,$D$3:$D77,D77)</f>
        <v>2302.2757344250003</v>
      </c>
      <c r="AS77" s="4">
        <f t="shared" si="30"/>
        <v>9838.8067038450008</v>
      </c>
      <c r="AT77" s="97">
        <f t="shared" si="40"/>
        <v>7.4866117982288483E-2</v>
      </c>
      <c r="AU77" s="97">
        <f t="shared" si="41"/>
        <v>7.4177301781586102E-2</v>
      </c>
      <c r="AV77" s="98">
        <f t="shared" si="65"/>
        <v>9.3540288590943765E-2</v>
      </c>
      <c r="AW77" s="4">
        <v>443.01245071200003</v>
      </c>
      <c r="AX77" s="4">
        <f>SUMIFS($AW$3:$AW77,$D$3:$D77,D77)</f>
        <v>1301.9454943169999</v>
      </c>
      <c r="AY77" s="4">
        <f t="shared" si="31"/>
        <v>5335.8753062989999</v>
      </c>
      <c r="AZ77" s="97">
        <f t="shared" si="42"/>
        <v>9.5555974658670273E-2</v>
      </c>
      <c r="BA77" s="97">
        <f t="shared" si="43"/>
        <v>9.6115320903241708E-2</v>
      </c>
      <c r="BB77" s="97">
        <f t="shared" si="58"/>
        <v>0.14699183157365159</v>
      </c>
      <c r="BC77" s="4">
        <v>326.24367788699999</v>
      </c>
      <c r="BD77" s="4">
        <f t="shared" si="88"/>
        <v>116.76877282500004</v>
      </c>
      <c r="BE77" s="4">
        <v>63.536006344</v>
      </c>
      <c r="BF77" s="4">
        <v>33.388431787000002</v>
      </c>
      <c r="BG77" s="4">
        <f t="shared" si="76"/>
        <v>4.8019329136498365</v>
      </c>
      <c r="BH77" s="4">
        <f>Datos1[[#This Row],[Intereses]]/Datos1[[#This Row],[PIB nominal (miles de millones de G.)]]*100</f>
        <v>3.0089925276095116E-2</v>
      </c>
      <c r="BI77" s="4">
        <v>203.18893411600001</v>
      </c>
      <c r="BJ77" s="4">
        <v>137.786107848</v>
      </c>
      <c r="BK77" s="4">
        <v>30.378491783000001</v>
      </c>
      <c r="BL77" s="56">
        <f t="shared" si="77"/>
        <v>74.171681642000067</v>
      </c>
      <c r="BM77" s="56">
        <f>SUMIFS($BL$3:$BL77,$D$3:$D77,D77)</f>
        <v>560.35766695000007</v>
      </c>
      <c r="BN77" s="56">
        <f t="shared" si="62"/>
        <v>2701.1235233440011</v>
      </c>
      <c r="BO77" s="100">
        <f t="shared" si="44"/>
        <v>-0.4888966842052721</v>
      </c>
      <c r="BP77" s="100">
        <f t="shared" si="45"/>
        <v>-0.37635745991443614</v>
      </c>
      <c r="BQ77" s="100">
        <f t="shared" si="53"/>
        <v>0.13238170274720007</v>
      </c>
      <c r="BR77" s="2">
        <f t="shared" si="78"/>
        <v>6.6844120515988759E-2</v>
      </c>
      <c r="BS77" s="2">
        <f>+Datos1[[#This Row],[RON acumulado 12 meses]]/Datos1[[#This Row],[PIB nominal (miles de millones de G.)]]*100</f>
        <v>2.4342744066994282</v>
      </c>
      <c r="BT77" s="56">
        <v>158.92890780900001</v>
      </c>
      <c r="BU77" s="56">
        <f>SUMIFS($BT$3:$BT77,$D$3:$D77,D77)</f>
        <v>200.72420448100002</v>
      </c>
      <c r="BV77" s="56">
        <f t="shared" si="32"/>
        <v>1339.7870548300002</v>
      </c>
      <c r="BW77" s="100">
        <f t="shared" si="46"/>
        <v>1.9654278228115247</v>
      </c>
      <c r="BX77" s="100">
        <f t="shared" si="47"/>
        <v>0.86044317632410228</v>
      </c>
      <c r="BY77" s="100">
        <f t="shared" si="54"/>
        <v>-7.3510574725082378E-2</v>
      </c>
      <c r="BZ77" s="56">
        <f t="shared" si="79"/>
        <v>22.857196714330293</v>
      </c>
      <c r="CA77" s="56">
        <f>Datos1[[#This Row],[Adquisición Neta de Activos no Financieros]]/Datos1[[#This Row],[PIB nominal (miles de millones de G.)]]*100</f>
        <v>0.14322801953358541</v>
      </c>
      <c r="CB77" s="56">
        <f>+Datos1[[#This Row],[ANANF acumulado por año]]/Datos1[[#This Row],[PIB nominal (miles de millones de G.)]]*100</f>
        <v>0.18089427956567136</v>
      </c>
      <c r="CC77" s="56">
        <f>+Datos1[[#This Row],[ANANF acumulado 12 meses]]/Datos1[[#This Row],[PIB nominal (miles de millones de G.)]]*100</f>
        <v>1.2074269502352251</v>
      </c>
      <c r="CD77" s="4">
        <v>139.56255626600003</v>
      </c>
      <c r="CE77" s="4">
        <f t="shared" si="80"/>
        <v>20.071923015795779</v>
      </c>
      <c r="CF77" s="4">
        <f t="shared" si="81"/>
        <v>19.366351542999979</v>
      </c>
      <c r="CG77" s="4">
        <f t="shared" si="82"/>
        <v>2.7852736985345157</v>
      </c>
      <c r="CH77" s="56">
        <f t="shared" si="83"/>
        <v>-84.757226166999942</v>
      </c>
      <c r="CI77" s="56">
        <f>SUMIFS($CH$3:$CH77,$D$3:$D77,D77)</f>
        <v>359.63346246900005</v>
      </c>
      <c r="CJ77" s="56">
        <f t="shared" si="63"/>
        <v>1361.3364685140004</v>
      </c>
      <c r="CK77" s="56">
        <f>Datos1[[#This Row],[Resultado Fiscal (miles de millones de G.)]]*1000/$F$207</f>
        <v>-12.189806235806728</v>
      </c>
      <c r="CL77" s="56">
        <f t="shared" si="33"/>
        <v>195.78776375039132</v>
      </c>
      <c r="CM77" s="100">
        <f t="shared" si="48"/>
        <v>-1.9260372623556583</v>
      </c>
      <c r="CN77" s="100">
        <f t="shared" si="49"/>
        <v>-0.54513239490626642</v>
      </c>
      <c r="CO77" s="100">
        <f t="shared" si="55"/>
        <v>0.4493755380544584</v>
      </c>
      <c r="CP77" s="4">
        <f t="shared" si="84"/>
        <v>-7.6383899017596651E-2</v>
      </c>
      <c r="CQ77" s="4">
        <f t="shared" si="64"/>
        <v>1.2268474564642027</v>
      </c>
      <c r="CR77" s="73">
        <v>481.34502297799997</v>
      </c>
      <c r="CS77" s="113">
        <f>SUM(Datos1[[#This Row],[FFPP]:[MTESS]])</f>
        <v>0</v>
      </c>
      <c r="CT77" s="113"/>
      <c r="CU77" s="113"/>
      <c r="CV77" s="113"/>
      <c r="CW77" s="113"/>
      <c r="CX77" s="113"/>
      <c r="CY77" s="113"/>
      <c r="CZ77" s="113"/>
    </row>
    <row r="78" spans="1:104">
      <c r="A78">
        <v>76</v>
      </c>
      <c r="B78" s="3">
        <v>39904</v>
      </c>
      <c r="C78" s="14" t="str">
        <f t="shared" si="66"/>
        <v>Abril</v>
      </c>
      <c r="D78" s="14">
        <f t="shared" si="85"/>
        <v>2009</v>
      </c>
      <c r="E78" s="15">
        <f t="shared" si="67"/>
        <v>110962.162519976</v>
      </c>
      <c r="F78" s="15">
        <f t="shared" si="68"/>
        <v>4966.582265838344</v>
      </c>
      <c r="G78" s="56">
        <v>1331.6446183040002</v>
      </c>
      <c r="H78" s="4">
        <f t="shared" si="86"/>
        <v>1.2000889204590532</v>
      </c>
      <c r="I78" s="4">
        <f>SUMIFS($G$3:$G78,$D$3:$D78,D78)</f>
        <v>4194.2780196790009</v>
      </c>
      <c r="J78" s="2">
        <f t="shared" si="27"/>
        <v>12818.782177683999</v>
      </c>
      <c r="K78" s="95">
        <f t="shared" si="34"/>
        <v>2.434162823480035E-2</v>
      </c>
      <c r="L78" s="95">
        <f t="shared" si="35"/>
        <v>0.26486881892455405</v>
      </c>
      <c r="M78" s="95">
        <f t="shared" si="50"/>
        <v>0.10980401971703957</v>
      </c>
      <c r="N78" s="4">
        <v>933.51964514700012</v>
      </c>
      <c r="O78" s="4">
        <f t="shared" si="69"/>
        <v>0.84129546860529403</v>
      </c>
      <c r="P78" s="4">
        <f>SUMIFS($N$3:$N78,$D$3:$D78,D78)</f>
        <v>2753.2895843490005</v>
      </c>
      <c r="Q78" s="4">
        <f t="shared" ref="Q78:Q109" si="89">SUM(N67:N78)</f>
        <v>8730.5393007319981</v>
      </c>
      <c r="R78" s="97">
        <f t="shared" si="36"/>
        <v>0.15633978987064623</v>
      </c>
      <c r="S78" s="97">
        <f t="shared" si="37"/>
        <v>2.7832779195462676E-2</v>
      </c>
      <c r="T78" s="97">
        <f t="shared" si="51"/>
        <v>0.16124947685229407</v>
      </c>
      <c r="U78" s="4">
        <v>621.80488654200008</v>
      </c>
      <c r="V78" s="4">
        <f t="shared" si="28"/>
        <v>4109.8823579197997</v>
      </c>
      <c r="W78" s="97">
        <f t="shared" si="56"/>
        <v>0.23111498342350467</v>
      </c>
      <c r="X78" s="97">
        <f t="shared" si="38"/>
        <v>0.47984148897809553</v>
      </c>
      <c r="Y78" s="4">
        <v>331.94154321633334</v>
      </c>
      <c r="Z78" s="4">
        <f t="shared" si="29"/>
        <v>4582.8868444093332</v>
      </c>
      <c r="AA78" s="97">
        <f t="shared" si="57"/>
        <v>0.12863321523975024</v>
      </c>
      <c r="AB78" s="97">
        <f t="shared" si="39"/>
        <v>-0.10746139850040315</v>
      </c>
      <c r="AC78" s="4">
        <v>74.276513472000005</v>
      </c>
      <c r="AD78" s="4">
        <f t="shared" si="70"/>
        <v>6.6938595810647039E-2</v>
      </c>
      <c r="AE78" s="4">
        <v>46.207505111999993</v>
      </c>
      <c r="AF78" s="4">
        <f t="shared" si="71"/>
        <v>4.1642578030760234E-2</v>
      </c>
      <c r="AG78" s="4">
        <v>277.64095457299999</v>
      </c>
      <c r="AH78" s="4">
        <f t="shared" si="72"/>
        <v>55.901813301814911</v>
      </c>
      <c r="AI78" s="4">
        <v>142.92288358100001</v>
      </c>
      <c r="AJ78" s="4">
        <f t="shared" si="73"/>
        <v>20.555206161211959</v>
      </c>
      <c r="AK78" s="101">
        <f>SUMIFS($AJ$3:$AJ78,$D$3:$D78,D78)</f>
        <v>79.080901798759953</v>
      </c>
      <c r="AL78" s="4">
        <v>75.099999999999994</v>
      </c>
      <c r="AM78" s="4">
        <f t="shared" si="74"/>
        <v>10.800901465384619</v>
      </c>
      <c r="AN78" s="101">
        <f>SUMIFS($AM$3:$AM78,$D$3:$D78,D78)</f>
        <v>34.453581292244195</v>
      </c>
      <c r="AO78" s="4">
        <f t="shared" si="87"/>
        <v>59.618070991999986</v>
      </c>
      <c r="AP78" s="56">
        <v>848.02505008599996</v>
      </c>
      <c r="AQ78" s="4">
        <f t="shared" si="75"/>
        <v>0.76424704676545396</v>
      </c>
      <c r="AR78" s="4">
        <f>SUMIFS($AP$3:$AP78,$D$3:$D78,D78)</f>
        <v>3150.3007845110005</v>
      </c>
      <c r="AS78" s="4">
        <f t="shared" si="30"/>
        <v>9881.1667212470002</v>
      </c>
      <c r="AT78" s="97">
        <f t="shared" si="40"/>
        <v>5.2577703739830062E-2</v>
      </c>
      <c r="AU78" s="97">
        <f t="shared" si="41"/>
        <v>6.827621877935508E-2</v>
      </c>
      <c r="AV78" s="98">
        <f t="shared" si="65"/>
        <v>7.4535730308683545E-2</v>
      </c>
      <c r="AW78" s="4">
        <v>442.43691625399998</v>
      </c>
      <c r="AX78" s="4">
        <f>SUMIFS($AW$3:$AW78,$D$3:$D78,D78)</f>
        <v>1744.3824105709998</v>
      </c>
      <c r="AY78" s="4">
        <f t="shared" si="31"/>
        <v>5380.3915255049997</v>
      </c>
      <c r="AZ78" s="97">
        <f t="shared" si="42"/>
        <v>0.11187208792165459</v>
      </c>
      <c r="BA78" s="97">
        <f t="shared" si="43"/>
        <v>0.10006936961900337</v>
      </c>
      <c r="BB78" s="97">
        <f t="shared" si="58"/>
        <v>0.14114293431449498</v>
      </c>
      <c r="BC78" s="4">
        <v>326.39887682800003</v>
      </c>
      <c r="BD78" s="4">
        <f t="shared" si="88"/>
        <v>116.03803942599995</v>
      </c>
      <c r="BE78" s="4">
        <v>76.686650916999994</v>
      </c>
      <c r="BF78" s="4">
        <v>39.653308006000003</v>
      </c>
      <c r="BG78" s="4">
        <f t="shared" si="76"/>
        <v>5.7029490352776699</v>
      </c>
      <c r="BH78" s="4">
        <f>Datos1[[#This Row],[Intereses]]/Datos1[[#This Row],[PIB nominal (miles de millones de G.)]]*100</f>
        <v>3.57358824895481E-2</v>
      </c>
      <c r="BI78" s="4">
        <v>142.18233474600001</v>
      </c>
      <c r="BJ78" s="4">
        <v>124.922932285</v>
      </c>
      <c r="BK78" s="4">
        <v>22.142907877999995</v>
      </c>
      <c r="BL78" s="56">
        <f t="shared" si="77"/>
        <v>483.61956821800027</v>
      </c>
      <c r="BM78" s="56">
        <f>SUMIFS($BL$3:$BL78,$D$3:$D78,D78)</f>
        <v>1043.9772351680003</v>
      </c>
      <c r="BN78" s="56">
        <f t="shared" ref="BN78:BN109" si="90">SUM(BL67:BL78)</f>
        <v>2937.6154564370017</v>
      </c>
      <c r="BO78" s="100">
        <f t="shared" si="44"/>
        <v>0.95696271674910083</v>
      </c>
      <c r="BP78" s="100">
        <f t="shared" si="45"/>
        <v>-8.8747938289469808E-2</v>
      </c>
      <c r="BQ78" s="100">
        <f t="shared" si="53"/>
        <v>0.24753425756816316</v>
      </c>
      <c r="BR78" s="2">
        <f t="shared" si="78"/>
        <v>0.43584187369359934</v>
      </c>
      <c r="BS78" s="2">
        <f>+Datos1[[#This Row],[RON acumulado 12 meses]]/Datos1[[#This Row],[PIB nominal (miles de millones de G.)]]*100</f>
        <v>2.6474028531195546</v>
      </c>
      <c r="BT78" s="56">
        <v>116.13020943800002</v>
      </c>
      <c r="BU78" s="56">
        <f>SUMIFS($BT$3:$BT78,$D$3:$D78,D78)</f>
        <v>316.85441391900002</v>
      </c>
      <c r="BV78" s="56">
        <f t="shared" si="32"/>
        <v>1355.8144281080001</v>
      </c>
      <c r="BW78" s="100">
        <f t="shared" si="46"/>
        <v>0.1601090827474918</v>
      </c>
      <c r="BX78" s="100">
        <f t="shared" si="47"/>
        <v>0.52338709819744023</v>
      </c>
      <c r="BY78" s="100">
        <f t="shared" si="54"/>
        <v>-7.5236203240942046E-2</v>
      </c>
      <c r="BZ78" s="56">
        <f t="shared" si="79"/>
        <v>16.701876821495567</v>
      </c>
      <c r="CA78" s="56">
        <f>Datos1[[#This Row],[Adquisición Neta de Activos no Financieros]]/Datos1[[#This Row],[PIB nominal (miles de millones de G.)]]*100</f>
        <v>0.10465748575970088</v>
      </c>
      <c r="CB78" s="56">
        <f>+Datos1[[#This Row],[ANANF acumulado por año]]/Datos1[[#This Row],[PIB nominal (miles de millones de G.)]]*100</f>
        <v>0.28555176532537224</v>
      </c>
      <c r="CC78" s="56">
        <f>+Datos1[[#This Row],[ANANF acumulado 12 meses]]/Datos1[[#This Row],[PIB nominal (miles de millones de G.)]]*100</f>
        <v>1.2218709489046946</v>
      </c>
      <c r="CD78" s="4">
        <v>50.979568219000001</v>
      </c>
      <c r="CE78" s="4">
        <f t="shared" si="80"/>
        <v>7.331894714797234</v>
      </c>
      <c r="CF78" s="4">
        <f t="shared" si="81"/>
        <v>65.150641219000022</v>
      </c>
      <c r="CG78" s="4">
        <f t="shared" si="82"/>
        <v>9.369982106698334</v>
      </c>
      <c r="CH78" s="56">
        <f t="shared" si="83"/>
        <v>367.48935878000026</v>
      </c>
      <c r="CI78" s="56">
        <f>SUMIFS($CH$3:$CH78,$D$3:$D78,D78)</f>
        <v>727.12282124900025</v>
      </c>
      <c r="CJ78" s="56">
        <f t="shared" ref="CJ78:CJ109" si="91">SUM(CH67:CH78)</f>
        <v>1581.8010283290009</v>
      </c>
      <c r="CK78" s="56">
        <f>Datos1[[#This Row],[Resultado Fiscal (miles de millones de G.)]]*1000/$F$207</f>
        <v>52.852414830361631</v>
      </c>
      <c r="CL78" s="56">
        <f t="shared" si="33"/>
        <v>227.4950338858269</v>
      </c>
      <c r="CM78" s="100">
        <f t="shared" si="48"/>
        <v>1.4995059429904969</v>
      </c>
      <c r="CN78" s="100">
        <f t="shared" si="49"/>
        <v>-0.22453307386651022</v>
      </c>
      <c r="CO78" s="100">
        <f t="shared" si="55"/>
        <v>0.78006943960622976</v>
      </c>
      <c r="CP78" s="4">
        <f t="shared" si="84"/>
        <v>0.33118438793389848</v>
      </c>
      <c r="CQ78" s="4">
        <f t="shared" ref="CQ78:CQ109" si="92">+CJ78/E78*100</f>
        <v>1.4255319042148595</v>
      </c>
      <c r="CR78" s="73">
        <v>474.78814212600003</v>
      </c>
      <c r="CS78" s="113">
        <f>SUM(Datos1[[#This Row],[FFPP]:[MTESS]])</f>
        <v>0</v>
      </c>
      <c r="CT78" s="113"/>
      <c r="CU78" s="113"/>
      <c r="CV78" s="113"/>
      <c r="CW78" s="113"/>
      <c r="CX78" s="113"/>
      <c r="CY78" s="113"/>
      <c r="CZ78" s="113"/>
    </row>
    <row r="79" spans="1:104">
      <c r="A79">
        <v>77</v>
      </c>
      <c r="B79" s="3">
        <v>39934</v>
      </c>
      <c r="C79" s="14" t="str">
        <f t="shared" si="66"/>
        <v>Mayo</v>
      </c>
      <c r="D79" s="14">
        <f t="shared" si="85"/>
        <v>2009</v>
      </c>
      <c r="E79" s="15">
        <f t="shared" si="67"/>
        <v>110962.162519976</v>
      </c>
      <c r="F79" s="15">
        <f t="shared" si="68"/>
        <v>4966.582265838344</v>
      </c>
      <c r="G79" s="56">
        <v>1194.2228953949998</v>
      </c>
      <c r="H79" s="4">
        <f t="shared" si="86"/>
        <v>1.0762433502321203</v>
      </c>
      <c r="I79" s="4">
        <f>SUMIFS($G$3:$G79,$D$3:$D79,D79)</f>
        <v>5388.5009150740007</v>
      </c>
      <c r="J79" s="2">
        <f t="shared" ref="J79:J142" si="93">SUM(G68:G79)</f>
        <v>12829.642041175</v>
      </c>
      <c r="K79" s="95">
        <f t="shared" si="34"/>
        <v>2.0941625199844216E-2</v>
      </c>
      <c r="L79" s="95">
        <f t="shared" si="35"/>
        <v>9.1771191073344305E-3</v>
      </c>
      <c r="M79" s="95">
        <f t="shared" si="50"/>
        <v>9.9131044909570587E-2</v>
      </c>
      <c r="N79" s="4">
        <v>882.32904381099991</v>
      </c>
      <c r="O79" s="4">
        <f t="shared" si="69"/>
        <v>0.79516208387896037</v>
      </c>
      <c r="P79" s="4">
        <f>SUMIFS($N$3:$N79,$D$3:$D79,D79)</f>
        <v>3635.6186281600003</v>
      </c>
      <c r="Q79" s="4">
        <f t="shared" si="89"/>
        <v>8738.9508720699996</v>
      </c>
      <c r="R79" s="97">
        <f t="shared" si="36"/>
        <v>9.6251323528258048E-3</v>
      </c>
      <c r="S79" s="97">
        <f t="shared" si="37"/>
        <v>2.3353875112255285E-2</v>
      </c>
      <c r="T79" s="97">
        <f t="shared" si="51"/>
        <v>0.13048490255794509</v>
      </c>
      <c r="U79" s="4">
        <v>599.00283808799998</v>
      </c>
      <c r="V79" s="4">
        <f t="shared" ref="V79:V142" si="94">SUM(U68:U79)</f>
        <v>4204.0571249458999</v>
      </c>
      <c r="W79" s="97">
        <f t="shared" si="56"/>
        <v>0.21138359487819813</v>
      </c>
      <c r="X79" s="97">
        <f t="shared" si="38"/>
        <v>0.18654819813803991</v>
      </c>
      <c r="Y79" s="4">
        <v>251.21946306333331</v>
      </c>
      <c r="Z79" s="4">
        <f t="shared" ref="Z79:Z142" si="95">SUM(Y68:Y79)</f>
        <v>4446.908487112667</v>
      </c>
      <c r="AA79" s="97">
        <f t="shared" si="57"/>
        <v>7.6103859840177757E-2</v>
      </c>
      <c r="AB79" s="97">
        <f t="shared" si="39"/>
        <v>-0.35118575091729554</v>
      </c>
      <c r="AC79" s="4">
        <v>77.653948753000009</v>
      </c>
      <c r="AD79" s="4">
        <f t="shared" si="70"/>
        <v>6.9982367853564792E-2</v>
      </c>
      <c r="AE79" s="4">
        <v>26.309081245000002</v>
      </c>
      <c r="AF79" s="4">
        <f t="shared" si="71"/>
        <v>2.3709957202991336E-2</v>
      </c>
      <c r="AG79" s="4">
        <v>207.93082158599998</v>
      </c>
      <c r="AH79" s="4">
        <f t="shared" si="72"/>
        <v>41.865977538761634</v>
      </c>
      <c r="AI79" s="4">
        <v>154.86689152700001</v>
      </c>
      <c r="AJ79" s="4">
        <f t="shared" si="73"/>
        <v>22.272996479807389</v>
      </c>
      <c r="AK79" s="101">
        <f>SUMIFS($AJ$3:$AJ79,$D$3:$D79,D79)</f>
        <v>101.35389827856734</v>
      </c>
      <c r="AL79" s="4">
        <v>0</v>
      </c>
      <c r="AM79" s="4">
        <f t="shared" si="74"/>
        <v>0</v>
      </c>
      <c r="AN79" s="101">
        <f>SUMIFS($AM$3:$AM79,$D$3:$D79,D79)</f>
        <v>34.453581292244195</v>
      </c>
      <c r="AO79" s="4">
        <f t="shared" si="87"/>
        <v>53.063930058999972</v>
      </c>
      <c r="AP79" s="56">
        <v>909.05867466200004</v>
      </c>
      <c r="AQ79" s="4">
        <f t="shared" si="75"/>
        <v>0.81925104379463265</v>
      </c>
      <c r="AR79" s="4">
        <f>SUMIFS($AP$3:$AP79,$D$3:$D79,D79)</f>
        <v>4059.3594591730007</v>
      </c>
      <c r="AS79" s="4">
        <f t="shared" ref="AS79:AS142" si="96">SUM(AP68:AP79)</f>
        <v>10117.508242866999</v>
      </c>
      <c r="AT79" s="97">
        <f t="shared" si="40"/>
        <v>0.35132376296824464</v>
      </c>
      <c r="AU79" s="97">
        <f t="shared" si="41"/>
        <v>0.12085160867206945</v>
      </c>
      <c r="AV79" s="98">
        <f t="shared" si="65"/>
        <v>9.7918146087870417E-2</v>
      </c>
      <c r="AW79" s="4">
        <v>449.631045164</v>
      </c>
      <c r="AX79" s="4">
        <f>SUMIFS($AW$3:$AW79,$D$3:$D79,D79)</f>
        <v>2194.0134557349998</v>
      </c>
      <c r="AY79" s="4">
        <f t="shared" ref="AY79:AY142" si="97">SUM(AW68:AW79)</f>
        <v>5432.5687110179997</v>
      </c>
      <c r="AZ79" s="97">
        <f t="shared" si="42"/>
        <v>0.13127859812159404</v>
      </c>
      <c r="BA79" s="97">
        <f t="shared" si="43"/>
        <v>0.10632416147757406</v>
      </c>
      <c r="BB79" s="97">
        <f t="shared" si="58"/>
        <v>0.13595201327260753</v>
      </c>
      <c r="BC79" s="4">
        <v>328.85262294</v>
      </c>
      <c r="BD79" s="4">
        <f t="shared" si="88"/>
        <v>120.778422224</v>
      </c>
      <c r="BE79" s="4">
        <v>68.592038102999993</v>
      </c>
      <c r="BF79" s="4">
        <v>13.925832086</v>
      </c>
      <c r="BG79" s="4">
        <f t="shared" si="76"/>
        <v>2.0028167800849204</v>
      </c>
      <c r="BH79" s="4">
        <f>Datos1[[#This Row],[Intereses]]/Datos1[[#This Row],[PIB nominal (miles de millones de G.)]]*100</f>
        <v>1.2550072718250238E-2</v>
      </c>
      <c r="BI79" s="4">
        <v>143.92570063800002</v>
      </c>
      <c r="BJ79" s="4">
        <v>150.83753866000001</v>
      </c>
      <c r="BK79" s="4">
        <v>82.146520011000007</v>
      </c>
      <c r="BL79" s="56">
        <f t="shared" si="77"/>
        <v>285.16422073299975</v>
      </c>
      <c r="BM79" s="56">
        <f>SUMIFS($BL$3:$BL79,$D$3:$D79,D79)</f>
        <v>1329.141455901</v>
      </c>
      <c r="BN79" s="56">
        <f t="shared" si="90"/>
        <v>2712.1337983080007</v>
      </c>
      <c r="BO79" s="100">
        <f t="shared" si="44"/>
        <v>-0.44156169169816384</v>
      </c>
      <c r="BP79" s="100">
        <f t="shared" si="45"/>
        <v>-0.19752242419568167</v>
      </c>
      <c r="BQ79" s="100">
        <f t="shared" si="53"/>
        <v>0.10367945932262113</v>
      </c>
      <c r="BR79" s="2">
        <f t="shared" si="78"/>
        <v>0.25699230643748761</v>
      </c>
      <c r="BS79" s="2">
        <f>+Datos1[[#This Row],[RON acumulado 12 meses]]/Datos1[[#This Row],[PIB nominal (miles de millones de G.)]]*100</f>
        <v>2.4441969557142942</v>
      </c>
      <c r="BT79" s="56">
        <v>127.62713335800001</v>
      </c>
      <c r="BU79" s="56">
        <f>SUMIFS($BT$3:$BT79,$D$3:$D79,D79)</f>
        <v>444.481547277</v>
      </c>
      <c r="BV79" s="56">
        <f t="shared" ref="BV79:BV142" si="98">SUM(BT68:BT79)</f>
        <v>1355.1209980230003</v>
      </c>
      <c r="BW79" s="100">
        <f t="shared" si="46"/>
        <v>-5.4038890291189245E-3</v>
      </c>
      <c r="BX79" s="100">
        <f t="shared" si="47"/>
        <v>0.32162692414142535</v>
      </c>
      <c r="BY79" s="100">
        <f t="shared" si="54"/>
        <v>-6.7052756605985198E-2</v>
      </c>
      <c r="BZ79" s="56">
        <f t="shared" si="79"/>
        <v>18.355367399590683</v>
      </c>
      <c r="CA79" s="56">
        <f>Datos1[[#This Row],[Adquisición Neta de Activos no Financieros]]/Datos1[[#This Row],[PIB nominal (miles de millones de G.)]]*100</f>
        <v>0.11501860675707712</v>
      </c>
      <c r="CB79" s="56">
        <f>+Datos1[[#This Row],[ANANF acumulado por año]]/Datos1[[#This Row],[PIB nominal (miles de millones de G.)]]*100</f>
        <v>0.40057037208244933</v>
      </c>
      <c r="CC79" s="56">
        <f>+Datos1[[#This Row],[ANANF acumulado 12 meses]]/Datos1[[#This Row],[PIB nominal (miles de millones de G.)]]*100</f>
        <v>1.2212460240931624</v>
      </c>
      <c r="CD79" s="4">
        <v>96.559888146999995</v>
      </c>
      <c r="CE79" s="4">
        <f t="shared" si="80"/>
        <v>13.887268140936179</v>
      </c>
      <c r="CF79" s="4">
        <f t="shared" si="81"/>
        <v>31.067245211000014</v>
      </c>
      <c r="CG79" s="4">
        <f t="shared" si="82"/>
        <v>4.4680992586545045</v>
      </c>
      <c r="CH79" s="56">
        <f t="shared" si="83"/>
        <v>157.53708737499974</v>
      </c>
      <c r="CI79" s="56">
        <f>SUMIFS($CH$3:$CH79,$D$3:$D79,D79)</f>
        <v>884.65990862399997</v>
      </c>
      <c r="CJ79" s="56">
        <f t="shared" si="91"/>
        <v>1357.0128002850004</v>
      </c>
      <c r="CK79" s="56">
        <f>Datos1[[#This Row],[Resultado Fiscal (miles de millones de G.)]]*1000/$F$207</f>
        <v>22.657024738762441</v>
      </c>
      <c r="CL79" s="56">
        <f t="shared" ref="CL79:CL142" si="99">SUM(CK68:CK79)</f>
        <v>195.16593266503256</v>
      </c>
      <c r="CM79" s="100">
        <f t="shared" si="48"/>
        <v>-0.58795015390924155</v>
      </c>
      <c r="CN79" s="100">
        <f t="shared" si="49"/>
        <v>-0.32979466374612787</v>
      </c>
      <c r="CO79" s="100">
        <f t="shared" si="55"/>
        <v>0.35047622559952352</v>
      </c>
      <c r="CP79" s="4">
        <f t="shared" si="84"/>
        <v>0.14197369968041049</v>
      </c>
      <c r="CQ79" s="4">
        <f t="shared" si="92"/>
        <v>1.2229509316211313</v>
      </c>
      <c r="CR79" s="73">
        <v>469.12470507099999</v>
      </c>
      <c r="CS79" s="113">
        <f>SUM(Datos1[[#This Row],[FFPP]:[MTESS]])</f>
        <v>0</v>
      </c>
      <c r="CT79" s="113"/>
      <c r="CU79" s="113"/>
      <c r="CV79" s="113"/>
      <c r="CW79" s="113"/>
      <c r="CX79" s="113"/>
      <c r="CY79" s="113"/>
      <c r="CZ79" s="113"/>
    </row>
    <row r="80" spans="1:104">
      <c r="A80">
        <v>78</v>
      </c>
      <c r="B80" s="3">
        <v>39965</v>
      </c>
      <c r="C80" s="14" t="str">
        <f t="shared" si="66"/>
        <v>Junio</v>
      </c>
      <c r="D80" s="14">
        <f t="shared" si="85"/>
        <v>2009</v>
      </c>
      <c r="E80" s="15">
        <f t="shared" si="67"/>
        <v>110962.162519976</v>
      </c>
      <c r="F80" s="15">
        <f t="shared" si="68"/>
        <v>4966.582265838344</v>
      </c>
      <c r="G80" s="56">
        <v>1000.8325818450002</v>
      </c>
      <c r="H80" s="4">
        <f t="shared" si="86"/>
        <v>0.90195843260068487</v>
      </c>
      <c r="I80" s="4">
        <f>SUMIFS($G$3:$G80,$D$3:$D80,D80)</f>
        <v>6389.3334969190009</v>
      </c>
      <c r="J80" s="2">
        <f t="shared" si="93"/>
        <v>12868.783321846</v>
      </c>
      <c r="K80" s="95">
        <f t="shared" ref="K80:K143" si="100">IFERROR(I80/I68-1,0)</f>
        <v>2.3986966294226031E-2</v>
      </c>
      <c r="L80" s="95">
        <f t="shared" ref="L80:L143" si="101">IFERROR(G80/G68-1,0)</f>
        <v>4.0700462428242767E-2</v>
      </c>
      <c r="M80" s="95">
        <f t="shared" si="50"/>
        <v>8.5105891831747549E-2</v>
      </c>
      <c r="N80" s="4">
        <v>674.53243418700004</v>
      </c>
      <c r="O80" s="4">
        <f t="shared" si="69"/>
        <v>0.60789409549004336</v>
      </c>
      <c r="P80" s="4">
        <f>SUMIFS($N$3:$N80,$D$3:$D80,D80)</f>
        <v>4310.1510623470003</v>
      </c>
      <c r="Q80" s="4">
        <f t="shared" si="89"/>
        <v>8736.5738892970003</v>
      </c>
      <c r="R80" s="97">
        <f t="shared" ref="R80:R143" si="102">IFERROR(N80/N68-1,0)</f>
        <v>-3.5115226844899539E-3</v>
      </c>
      <c r="S80" s="97">
        <f t="shared" ref="S80:S143" si="103">IFERROR(P80/P68-1,0)</f>
        <v>1.9054269187904094E-2</v>
      </c>
      <c r="T80" s="97">
        <f t="shared" si="51"/>
        <v>0.11147100664939602</v>
      </c>
      <c r="U80" s="4">
        <v>307.82194276799993</v>
      </c>
      <c r="V80" s="4">
        <f t="shared" si="94"/>
        <v>4200.2694020889994</v>
      </c>
      <c r="W80" s="97">
        <f t="shared" si="56"/>
        <v>0.19348907046925645</v>
      </c>
      <c r="X80" s="97">
        <f t="shared" ref="X80:X143" si="104">IFERROR(U80/U68-1,0)</f>
        <v>-1.2155344569637183E-2</v>
      </c>
      <c r="Y80" s="4">
        <v>381.47277471133333</v>
      </c>
      <c r="Z80" s="4">
        <f t="shared" si="95"/>
        <v>4472.0059435780004</v>
      </c>
      <c r="AA80" s="97">
        <f t="shared" si="57"/>
        <v>6.4656392857422862E-2</v>
      </c>
      <c r="AB80" s="97">
        <f t="shared" ref="AB80:AB143" si="105">IFERROR(Y80/Y68-1,0)</f>
        <v>7.0424227437684062E-2</v>
      </c>
      <c r="AC80" s="4">
        <v>72.374072388999991</v>
      </c>
      <c r="AD80" s="4">
        <f t="shared" si="70"/>
        <v>6.5224100490985676E-2</v>
      </c>
      <c r="AE80" s="4">
        <v>60.814020849999991</v>
      </c>
      <c r="AF80" s="4">
        <f t="shared" si="71"/>
        <v>5.4806088371837494E-2</v>
      </c>
      <c r="AG80" s="4">
        <v>193.11205441900003</v>
      </c>
      <c r="AH80" s="4">
        <f t="shared" si="72"/>
        <v>38.882282439431876</v>
      </c>
      <c r="AI80" s="4">
        <v>151.24852598999999</v>
      </c>
      <c r="AJ80" s="4">
        <f t="shared" si="73"/>
        <v>21.752602210421497</v>
      </c>
      <c r="AK80" s="101">
        <f>SUMIFS($AJ$3:$AJ80,$D$3:$D80,D80)</f>
        <v>123.10650048898884</v>
      </c>
      <c r="AL80" s="4">
        <v>0</v>
      </c>
      <c r="AM80" s="4">
        <f t="shared" si="74"/>
        <v>0</v>
      </c>
      <c r="AN80" s="101">
        <f>SUMIFS($AM$3:$AM80,$D$3:$D80,D80)</f>
        <v>34.453581292244195</v>
      </c>
      <c r="AO80" s="4">
        <f t="shared" si="87"/>
        <v>41.863528429000041</v>
      </c>
      <c r="AP80" s="56">
        <v>913.70105938599988</v>
      </c>
      <c r="AQ80" s="4">
        <f t="shared" si="75"/>
        <v>0.82343479852558799</v>
      </c>
      <c r="AR80" s="4">
        <f>SUMIFS($AP$3:$AP80,$D$3:$D80,D80)</f>
        <v>4973.0605185590002</v>
      </c>
      <c r="AS80" s="4">
        <f t="shared" si="96"/>
        <v>10294.658009216</v>
      </c>
      <c r="AT80" s="97">
        <f t="shared" ref="AT80:AT143" si="106">IFERROR(AP80/AP68-1,0)</f>
        <v>0.24051246399767146</v>
      </c>
      <c r="AU80" s="97">
        <f t="shared" ref="AU80:AU143" si="107">IFERROR(AR80/AR68-1,0)</f>
        <v>0.14107459987433413</v>
      </c>
      <c r="AV80" s="98">
        <f t="shared" si="65"/>
        <v>0.10465804158776781</v>
      </c>
      <c r="AW80" s="4">
        <v>454.67008083099989</v>
      </c>
      <c r="AX80" s="4">
        <f>SUMIFS($AW$3:$AW80,$D$3:$D80,D80)</f>
        <v>2648.6835365659995</v>
      </c>
      <c r="AY80" s="4">
        <f t="shared" si="97"/>
        <v>5480.9563050729994</v>
      </c>
      <c r="AZ80" s="97">
        <f t="shared" ref="AZ80:AZ143" si="108">IFERROR(AW80/AW68-1,0)</f>
        <v>0.11909839983252324</v>
      </c>
      <c r="BA80" s="97">
        <f t="shared" ref="BA80:BA143" si="109">IFERROR(AX80/AX68-1,0)</f>
        <v>0.10849619864966287</v>
      </c>
      <c r="BB80" s="97">
        <f t="shared" si="58"/>
        <v>0.12938506649486792</v>
      </c>
      <c r="BC80" s="4">
        <v>328.94761537599999</v>
      </c>
      <c r="BD80" s="4">
        <f t="shared" si="88"/>
        <v>125.72246545499991</v>
      </c>
      <c r="BE80" s="4">
        <v>89.324570213000001</v>
      </c>
      <c r="BF80" s="4">
        <v>53.268815287999999</v>
      </c>
      <c r="BG80" s="4">
        <f t="shared" si="76"/>
        <v>7.6611348216173338</v>
      </c>
      <c r="BH80" s="4">
        <f>Datos1[[#This Row],[Intereses]]/Datos1[[#This Row],[PIB nominal (miles de millones de G.)]]*100</f>
        <v>4.8006287979842008E-2</v>
      </c>
      <c r="BI80" s="4">
        <v>144.30582470300001</v>
      </c>
      <c r="BJ80" s="4">
        <v>132.19608158399998</v>
      </c>
      <c r="BK80" s="4">
        <v>39.935686767000007</v>
      </c>
      <c r="BL80" s="56">
        <f t="shared" si="77"/>
        <v>87.13152245900028</v>
      </c>
      <c r="BM80" s="56">
        <f>SUMIFS($BL$3:$BL80,$D$3:$D80,D80)</f>
        <v>1416.2729783600003</v>
      </c>
      <c r="BN80" s="56">
        <f t="shared" si="90"/>
        <v>2574.1253126300007</v>
      </c>
      <c r="BO80" s="100">
        <f t="shared" ref="BO80:BO143" si="110">IFERROR(BL80/BL68-1,0)</f>
        <v>-0.6129896095323053</v>
      </c>
      <c r="BP80" s="100">
        <f t="shared" ref="BP80:BP143" si="111">IFERROR(BM80/BM68-1,0)</f>
        <v>-0.24723882145681997</v>
      </c>
      <c r="BQ80" s="100">
        <f t="shared" si="53"/>
        <v>1.3373017780530905E-2</v>
      </c>
      <c r="BR80" s="2">
        <f t="shared" si="78"/>
        <v>7.852363407509691E-2</v>
      </c>
      <c r="BS80" s="2">
        <f>+Datos1[[#This Row],[RON acumulado 12 meses]]/Datos1[[#This Row],[PIB nominal (miles de millones de G.)]]*100</f>
        <v>2.319822590125344</v>
      </c>
      <c r="BT80" s="56">
        <v>129.024681614</v>
      </c>
      <c r="BU80" s="56">
        <f>SUMIFS($BT$3:$BT80,$D$3:$D80,D80)</f>
        <v>573.50622889099998</v>
      </c>
      <c r="BV80" s="56">
        <f t="shared" si="98"/>
        <v>1408.0124619410003</v>
      </c>
      <c r="BW80" s="100">
        <f t="shared" ref="BW80:BW143" si="112">IFERROR(BT80/BT68-1,0)</f>
        <v>0.6947225602521574</v>
      </c>
      <c r="BX80" s="100">
        <f t="shared" ref="BX80:BX143" si="113">IFERROR(BU80/BU68-1,0)</f>
        <v>0.39049628429519467</v>
      </c>
      <c r="BY80" s="100">
        <f t="shared" si="54"/>
        <v>-2.2338363617112278E-2</v>
      </c>
      <c r="BZ80" s="56">
        <f t="shared" si="79"/>
        <v>18.556363152003147</v>
      </c>
      <c r="CA80" s="56">
        <f>Datos1[[#This Row],[Adquisición Neta de Activos no Financieros]]/Datos1[[#This Row],[PIB nominal (miles de millones de G.)]]*100</f>
        <v>0.11627808856985128</v>
      </c>
      <c r="CB80" s="56">
        <f>+Datos1[[#This Row],[ANANF acumulado por año]]/Datos1[[#This Row],[PIB nominal (miles de millones de G.)]]*100</f>
        <v>0.5168484606523005</v>
      </c>
      <c r="CC80" s="56">
        <f>+Datos1[[#This Row],[ANANF acumulado 12 meses]]/Datos1[[#This Row],[PIB nominal (miles de millones de G.)]]*100</f>
        <v>1.2689122399606463</v>
      </c>
      <c r="CD80" s="4">
        <v>95.846592891000014</v>
      </c>
      <c r="CE80" s="4">
        <f t="shared" si="80"/>
        <v>13.784681832337217</v>
      </c>
      <c r="CF80" s="4">
        <f t="shared" si="81"/>
        <v>33.178088722999988</v>
      </c>
      <c r="CG80" s="4">
        <f t="shared" si="82"/>
        <v>4.7716813196659311</v>
      </c>
      <c r="CH80" s="56">
        <f t="shared" si="83"/>
        <v>-41.893159154999722</v>
      </c>
      <c r="CI80" s="56">
        <f>SUMIFS($CH$3:$CH80,$D$3:$D80,D80)</f>
        <v>842.76674946900027</v>
      </c>
      <c r="CJ80" s="56">
        <f t="shared" si="91"/>
        <v>1166.1128506890009</v>
      </c>
      <c r="CK80" s="56">
        <f>Datos1[[#This Row],[Resultado Fiscal (miles de millones de G.)]]*1000/$F$207</f>
        <v>-6.0250850080802607</v>
      </c>
      <c r="CL80" s="56">
        <f t="shared" si="99"/>
        <v>167.71065243422987</v>
      </c>
      <c r="CM80" s="100">
        <f t="shared" ref="CM80:CM143" si="114">IFERROR(CH80/CH68-1,0)</f>
        <v>-1.2811493290407296</v>
      </c>
      <c r="CN80" s="100">
        <f t="shared" ref="CN80:CN143" si="115">IFERROR(CI80/CI68-1,0)</f>
        <v>-0.42629517653605675</v>
      </c>
      <c r="CO80" s="100">
        <f t="shared" si="55"/>
        <v>6.0129622116285919E-2</v>
      </c>
      <c r="CP80" s="4">
        <f t="shared" si="84"/>
        <v>-3.7754454494754362E-2</v>
      </c>
      <c r="CQ80" s="4">
        <f t="shared" si="92"/>
        <v>1.0509103501646977</v>
      </c>
      <c r="CR80" s="73">
        <v>474.01627685099999</v>
      </c>
      <c r="CS80" s="113">
        <f>SUM(Datos1[[#This Row],[FFPP]:[MTESS]])</f>
        <v>0</v>
      </c>
      <c r="CT80" s="113"/>
      <c r="CU80" s="113"/>
      <c r="CV80" s="113"/>
      <c r="CW80" s="113"/>
      <c r="CX80" s="113"/>
      <c r="CY80" s="113"/>
      <c r="CZ80" s="113"/>
    </row>
    <row r="81" spans="1:104">
      <c r="A81">
        <v>79</v>
      </c>
      <c r="B81" s="3">
        <v>39995</v>
      </c>
      <c r="C81" s="14" t="str">
        <f t="shared" si="66"/>
        <v>Julio</v>
      </c>
      <c r="D81" s="14">
        <f t="shared" si="85"/>
        <v>2009</v>
      </c>
      <c r="E81" s="15">
        <f t="shared" si="67"/>
        <v>110962.162519976</v>
      </c>
      <c r="F81" s="15">
        <f t="shared" si="68"/>
        <v>4966.582265838344</v>
      </c>
      <c r="G81" s="56">
        <v>1312.153936317</v>
      </c>
      <c r="H81" s="4">
        <f t="shared" si="86"/>
        <v>1.1825237599175114</v>
      </c>
      <c r="I81" s="4">
        <f>SUMIFS($G$3:$G81,$D$3:$D81,D81)</f>
        <v>7701.4874332360014</v>
      </c>
      <c r="J81" s="2">
        <f t="shared" si="93"/>
        <v>13094.469301744999</v>
      </c>
      <c r="K81" s="95">
        <f t="shared" si="100"/>
        <v>5.1235306954316551E-2</v>
      </c>
      <c r="L81" s="95">
        <f t="shared" si="101"/>
        <v>0.20772446952146573</v>
      </c>
      <c r="M81" s="95">
        <f t="shared" si="50"/>
        <v>8.7176778673618616E-2</v>
      </c>
      <c r="N81" s="4">
        <v>881.5233513039999</v>
      </c>
      <c r="O81" s="4">
        <f t="shared" si="69"/>
        <v>0.79443598726304865</v>
      </c>
      <c r="P81" s="4">
        <f>SUMIFS($N$3:$N81,$D$3:$D81,D81)</f>
        <v>5191.6744136510006</v>
      </c>
      <c r="Q81" s="4">
        <f t="shared" si="89"/>
        <v>8726.5732319309991</v>
      </c>
      <c r="R81" s="97">
        <f t="shared" si="102"/>
        <v>-1.1217485192484555E-2</v>
      </c>
      <c r="S81" s="97">
        <f t="shared" si="103"/>
        <v>1.3784291903708112E-2</v>
      </c>
      <c r="T81" s="97">
        <f t="shared" si="51"/>
        <v>7.5013706568411109E-2</v>
      </c>
      <c r="U81" s="4">
        <v>520.71868889000007</v>
      </c>
      <c r="V81" s="4">
        <f t="shared" si="94"/>
        <v>4290.8673272510005</v>
      </c>
      <c r="W81" s="97">
        <f t="shared" si="56"/>
        <v>0.17843824292688892</v>
      </c>
      <c r="X81" s="97">
        <f t="shared" si="104"/>
        <v>0.21063369360911022</v>
      </c>
      <c r="Y81" s="4">
        <v>377.04632342533336</v>
      </c>
      <c r="Z81" s="4">
        <f t="shared" si="95"/>
        <v>4403.8933093823334</v>
      </c>
      <c r="AA81" s="97">
        <f t="shared" si="57"/>
        <v>2.0235656365600763E-2</v>
      </c>
      <c r="AB81" s="97">
        <f t="shared" si="105"/>
        <v>-0.1530074438121416</v>
      </c>
      <c r="AC81" s="4">
        <v>82.249797518000008</v>
      </c>
      <c r="AD81" s="4">
        <f t="shared" si="70"/>
        <v>7.412418400118416E-2</v>
      </c>
      <c r="AE81" s="4">
        <v>75.429647810000006</v>
      </c>
      <c r="AF81" s="4">
        <f t="shared" si="71"/>
        <v>6.7977809820010268E-2</v>
      </c>
      <c r="AG81" s="4">
        <v>272.95113968499999</v>
      </c>
      <c r="AH81" s="4">
        <f t="shared" si="72"/>
        <v>54.957539224194583</v>
      </c>
      <c r="AI81" s="4">
        <v>143.06059869199999</v>
      </c>
      <c r="AJ81" s="4">
        <f t="shared" si="73"/>
        <v>20.575012384170751</v>
      </c>
      <c r="AK81" s="101">
        <f>SUMIFS($AJ$3:$AJ81,$D$3:$D81,D81)</f>
        <v>143.68151287315959</v>
      </c>
      <c r="AL81" s="4">
        <v>89.82</v>
      </c>
      <c r="AM81" s="4">
        <f t="shared" si="74"/>
        <v>12.917935680703682</v>
      </c>
      <c r="AN81" s="101">
        <f>SUMIFS($AM$3:$AM81,$D$3:$D81,D81)</f>
        <v>47.371516972947873</v>
      </c>
      <c r="AO81" s="4">
        <f t="shared" si="87"/>
        <v>40.070540993000009</v>
      </c>
      <c r="AP81" s="56">
        <v>920.4208200459999</v>
      </c>
      <c r="AQ81" s="4">
        <f t="shared" si="75"/>
        <v>0.8294907012832422</v>
      </c>
      <c r="AR81" s="4">
        <f>SUMIFS($AP$3:$AP81,$D$3:$D81,D81)</f>
        <v>5893.481338605</v>
      </c>
      <c r="AS81" s="4">
        <f t="shared" si="96"/>
        <v>10406.269296285</v>
      </c>
      <c r="AT81" s="97">
        <f t="shared" si="106"/>
        <v>0.1379945246913572</v>
      </c>
      <c r="AU81" s="97">
        <f t="shared" si="107"/>
        <v>0.1405924676433481</v>
      </c>
      <c r="AV81" s="98">
        <f t="shared" si="65"/>
        <v>0.10785819935071594</v>
      </c>
      <c r="AW81" s="4">
        <v>467.98763976699991</v>
      </c>
      <c r="AX81" s="4">
        <f>SUMIFS($AW$3:$AW81,$D$3:$D81,D81)</f>
        <v>3116.6711763329995</v>
      </c>
      <c r="AY81" s="4">
        <f t="shared" si="97"/>
        <v>5546.9376845459983</v>
      </c>
      <c r="AZ81" s="97">
        <f t="shared" si="108"/>
        <v>0.16413022877988404</v>
      </c>
      <c r="BA81" s="97">
        <f t="shared" si="109"/>
        <v>0.11650826050714103</v>
      </c>
      <c r="BB81" s="97">
        <f t="shared" si="58"/>
        <v>0.12729597256679681</v>
      </c>
      <c r="BC81" s="4">
        <v>353.68879549100001</v>
      </c>
      <c r="BD81" s="4">
        <f t="shared" si="88"/>
        <v>114.2988442759999</v>
      </c>
      <c r="BE81" s="4">
        <v>106.167863526</v>
      </c>
      <c r="BF81" s="4">
        <v>35.894214886999997</v>
      </c>
      <c r="BG81" s="4">
        <f t="shared" si="76"/>
        <v>5.1623152885729517</v>
      </c>
      <c r="BH81" s="4">
        <f>Datos1[[#This Row],[Intereses]]/Datos1[[#This Row],[PIB nominal (miles de millones de G.)]]*100</f>
        <v>3.2348157310414828E-2</v>
      </c>
      <c r="BI81" s="4">
        <v>146.65849052900001</v>
      </c>
      <c r="BJ81" s="4">
        <v>142.76763463199998</v>
      </c>
      <c r="BK81" s="4">
        <v>20.944976704999998</v>
      </c>
      <c r="BL81" s="56">
        <f t="shared" si="77"/>
        <v>391.73311627100009</v>
      </c>
      <c r="BM81" s="56">
        <f>SUMIFS($BL$3:$BL81,$D$3:$D81,D81)</f>
        <v>1808.0060946310005</v>
      </c>
      <c r="BN81" s="56">
        <f t="shared" si="90"/>
        <v>2688.2000054600012</v>
      </c>
      <c r="BO81" s="100">
        <f t="shared" si="110"/>
        <v>0.41084542444735161</v>
      </c>
      <c r="BP81" s="100">
        <f t="shared" si="111"/>
        <v>-0.16260958057470254</v>
      </c>
      <c r="BQ81" s="100">
        <f t="shared" si="53"/>
        <v>1.3906541048481103E-2</v>
      </c>
      <c r="BR81" s="2">
        <f t="shared" si="78"/>
        <v>0.35303305863426931</v>
      </c>
      <c r="BS81" s="2">
        <f>+Datos1[[#This Row],[RON acumulado 12 meses]]/Datos1[[#This Row],[PIB nominal (miles de millones de G.)]]*100</f>
        <v>2.4226276276618681</v>
      </c>
      <c r="BT81" s="56">
        <v>117.24399944999999</v>
      </c>
      <c r="BU81" s="56">
        <f>SUMIFS($BT$3:$BT81,$D$3:$D81,D81)</f>
        <v>690.75022834099991</v>
      </c>
      <c r="BV81" s="56">
        <f t="shared" si="98"/>
        <v>1383.5569379110002</v>
      </c>
      <c r="BW81" s="100">
        <f t="shared" si="112"/>
        <v>-0.17258720022055496</v>
      </c>
      <c r="BX81" s="100">
        <f t="shared" si="113"/>
        <v>0.24651155006986447</v>
      </c>
      <c r="BY81" s="100">
        <f t="shared" si="54"/>
        <v>-5.7635776658822024E-2</v>
      </c>
      <c r="BZ81" s="56">
        <f t="shared" si="79"/>
        <v>16.862062389707834</v>
      </c>
      <c r="CA81" s="56">
        <f>Datos1[[#This Row],[Adquisición Neta de Activos no Financieros]]/Datos1[[#This Row],[PIB nominal (miles de millones de G.)]]*100</f>
        <v>0.10566124234366206</v>
      </c>
      <c r="CB81" s="56">
        <f>+Datos1[[#This Row],[ANANF acumulado por año]]/Datos1[[#This Row],[PIB nominal (miles de millones de G.)]]*100</f>
        <v>0.62250970299596253</v>
      </c>
      <c r="CC81" s="56">
        <f>+Datos1[[#This Row],[ANANF acumulado 12 meses]]/Datos1[[#This Row],[PIB nominal (miles de millones de G.)]]*100</f>
        <v>1.2468727235393642</v>
      </c>
      <c r="CD81" s="4">
        <v>63.455301827999996</v>
      </c>
      <c r="CE81" s="4">
        <f t="shared" si="80"/>
        <v>9.1261579560648265</v>
      </c>
      <c r="CF81" s="4">
        <f t="shared" si="81"/>
        <v>53.788697621999994</v>
      </c>
      <c r="CG81" s="4">
        <f t="shared" si="82"/>
        <v>7.7359044336430074</v>
      </c>
      <c r="CH81" s="56">
        <f t="shared" si="83"/>
        <v>274.4891168210001</v>
      </c>
      <c r="CI81" s="56">
        <f>SUMIFS($CH$3:$CH81,$D$3:$D81,D81)</f>
        <v>1117.2558662900003</v>
      </c>
      <c r="CJ81" s="56">
        <f t="shared" si="91"/>
        <v>1304.643067549001</v>
      </c>
      <c r="CK81" s="56">
        <f>Datos1[[#This Row],[Resultado Fiscal (miles de millones de G.)]]*1000/$F$207</f>
        <v>39.477095926818507</v>
      </c>
      <c r="CL81" s="56">
        <f t="shared" si="99"/>
        <v>187.63410412907973</v>
      </c>
      <c r="CM81" s="100">
        <f t="shared" si="114"/>
        <v>1.0189124573657016</v>
      </c>
      <c r="CN81" s="100">
        <f t="shared" si="115"/>
        <v>-0.30386833876913744</v>
      </c>
      <c r="CO81" s="100">
        <f t="shared" si="55"/>
        <v>0.10268353404607411</v>
      </c>
      <c r="CP81" s="4">
        <f t="shared" si="84"/>
        <v>0.24737181629060725</v>
      </c>
      <c r="CQ81" s="4">
        <f t="shared" si="92"/>
        <v>1.1757549041225042</v>
      </c>
      <c r="CR81" s="73">
        <v>490.085474949</v>
      </c>
      <c r="CS81" s="113">
        <f>SUM(Datos1[[#This Row],[FFPP]:[MTESS]])</f>
        <v>0</v>
      </c>
      <c r="CT81" s="113"/>
      <c r="CU81" s="113"/>
      <c r="CV81" s="113"/>
      <c r="CW81" s="113"/>
      <c r="CX81" s="113"/>
      <c r="CY81" s="113"/>
      <c r="CZ81" s="113"/>
    </row>
    <row r="82" spans="1:104">
      <c r="A82">
        <v>80</v>
      </c>
      <c r="B82" s="3">
        <v>40026</v>
      </c>
      <c r="C82" s="14" t="str">
        <f t="shared" si="66"/>
        <v>Agosto</v>
      </c>
      <c r="D82" s="14">
        <f t="shared" si="85"/>
        <v>2009</v>
      </c>
      <c r="E82" s="15">
        <f t="shared" si="67"/>
        <v>110962.162519976</v>
      </c>
      <c r="F82" s="15">
        <f t="shared" si="68"/>
        <v>4966.582265838344</v>
      </c>
      <c r="G82" s="56">
        <v>1082.5927304659999</v>
      </c>
      <c r="H82" s="4">
        <f t="shared" si="86"/>
        <v>0.97564134104822053</v>
      </c>
      <c r="I82" s="4">
        <f>SUMIFS($G$3:$G82,$D$3:$D82,D82)</f>
        <v>8784.0801637020013</v>
      </c>
      <c r="J82" s="2">
        <f t="shared" si="93"/>
        <v>13226.045737904</v>
      </c>
      <c r="K82" s="95">
        <f t="shared" si="100"/>
        <v>6.1244893924732091E-2</v>
      </c>
      <c r="L82" s="95">
        <f t="shared" si="101"/>
        <v>0.13835350345377506</v>
      </c>
      <c r="M82" s="95">
        <f t="shared" si="50"/>
        <v>9.4902669648571747E-2</v>
      </c>
      <c r="N82" s="4">
        <v>732.84315531899995</v>
      </c>
      <c r="O82" s="4">
        <f t="shared" si="69"/>
        <v>0.66044418987154263</v>
      </c>
      <c r="P82" s="4">
        <f>SUMIFS($N$3:$N82,$D$3:$D82,D82)</f>
        <v>5924.5175689700009</v>
      </c>
      <c r="Q82" s="4">
        <f t="shared" si="89"/>
        <v>8845.4906935489998</v>
      </c>
      <c r="R82" s="97">
        <f t="shared" si="102"/>
        <v>0.19370008917710524</v>
      </c>
      <c r="S82" s="97">
        <f t="shared" si="103"/>
        <v>3.3044055793599814E-2</v>
      </c>
      <c r="T82" s="97">
        <f t="shared" si="51"/>
        <v>8.3268322462749733E-2</v>
      </c>
      <c r="U82" s="4">
        <v>354.71039412400006</v>
      </c>
      <c r="V82" s="4">
        <f t="shared" si="94"/>
        <v>4421.5471632160006</v>
      </c>
      <c r="W82" s="97">
        <f t="shared" si="56"/>
        <v>0.20307943594137878</v>
      </c>
      <c r="X82" s="97">
        <f t="shared" si="104"/>
        <v>0.5833125491400748</v>
      </c>
      <c r="Y82" s="4">
        <v>366.0266059773333</v>
      </c>
      <c r="Z82" s="4">
        <f t="shared" si="95"/>
        <v>4378.6938169356672</v>
      </c>
      <c r="AA82" s="97">
        <f t="shared" si="57"/>
        <v>5.9676369806838103E-3</v>
      </c>
      <c r="AB82" s="97">
        <f t="shared" si="105"/>
        <v>-6.4411583348297441E-2</v>
      </c>
      <c r="AC82" s="4">
        <v>94.046361672000003</v>
      </c>
      <c r="AD82" s="4">
        <f t="shared" si="70"/>
        <v>8.4755343205454622E-2</v>
      </c>
      <c r="AE82" s="4">
        <v>53.840515932000002</v>
      </c>
      <c r="AF82" s="4">
        <f t="shared" si="71"/>
        <v>4.8521509232759726E-2</v>
      </c>
      <c r="AG82" s="4">
        <v>201.86269754300002</v>
      </c>
      <c r="AH82" s="4">
        <f t="shared" si="72"/>
        <v>40.644186834772221</v>
      </c>
      <c r="AI82" s="4">
        <v>142.39229160599999</v>
      </c>
      <c r="AJ82" s="4">
        <f t="shared" si="73"/>
        <v>20.478896285841799</v>
      </c>
      <c r="AK82" s="101">
        <f>SUMIFS($AJ$3:$AJ82,$D$3:$D82,D82)</f>
        <v>164.1604091590014</v>
      </c>
      <c r="AL82" s="4">
        <v>0</v>
      </c>
      <c r="AM82" s="4">
        <f t="shared" si="74"/>
        <v>0</v>
      </c>
      <c r="AN82" s="101">
        <f>SUMIFS($AM$3:$AM82,$D$3:$D82,D82)</f>
        <v>47.371516972947873</v>
      </c>
      <c r="AO82" s="4">
        <f t="shared" si="87"/>
        <v>59.470405937000038</v>
      </c>
      <c r="AP82" s="56">
        <v>912.11059336700009</v>
      </c>
      <c r="AQ82" s="4">
        <f t="shared" si="75"/>
        <v>0.82200145766156729</v>
      </c>
      <c r="AR82" s="4">
        <f>SUMIFS($AP$3:$AP82,$D$3:$D82,D82)</f>
        <v>6805.5919319719997</v>
      </c>
      <c r="AS82" s="4">
        <f t="shared" si="96"/>
        <v>10635.328003824001</v>
      </c>
      <c r="AT82" s="97">
        <f t="shared" si="106"/>
        <v>0.33534598511697777</v>
      </c>
      <c r="AU82" s="97">
        <f t="shared" si="107"/>
        <v>0.1633317460909729</v>
      </c>
      <c r="AV82" s="98">
        <f t="shared" si="65"/>
        <v>0.131312213935324</v>
      </c>
      <c r="AW82" s="4">
        <v>480.97859321200008</v>
      </c>
      <c r="AX82" s="4">
        <f>SUMIFS($AW$3:$AW82,$D$3:$D82,D82)</f>
        <v>3597.6497695449998</v>
      </c>
      <c r="AY82" s="4">
        <f t="shared" si="97"/>
        <v>5626.9689154429989</v>
      </c>
      <c r="AZ82" s="97">
        <f t="shared" si="108"/>
        <v>0.19960533082176624</v>
      </c>
      <c r="BA82" s="97">
        <f t="shared" si="109"/>
        <v>0.12694480761033411</v>
      </c>
      <c r="BB82" s="97">
        <f t="shared" si="58"/>
        <v>0.13039906082039909</v>
      </c>
      <c r="BC82" s="4">
        <v>348.67848586899999</v>
      </c>
      <c r="BD82" s="4">
        <f t="shared" si="88"/>
        <v>132.30010734300009</v>
      </c>
      <c r="BE82" s="4">
        <v>99.06111487699998</v>
      </c>
      <c r="BF82" s="4">
        <v>17.273570069000002</v>
      </c>
      <c r="BG82" s="4">
        <f t="shared" si="76"/>
        <v>2.4842893245098003</v>
      </c>
      <c r="BH82" s="4">
        <f>Datos1[[#This Row],[Intereses]]/Datos1[[#This Row],[PIB nominal (miles de millones de G.)]]*100</f>
        <v>1.5567081315570361E-2</v>
      </c>
      <c r="BI82" s="4">
        <v>158.96141284299998</v>
      </c>
      <c r="BJ82" s="4">
        <v>122.83885601</v>
      </c>
      <c r="BK82" s="4">
        <v>32.997046355999998</v>
      </c>
      <c r="BL82" s="56">
        <f t="shared" si="77"/>
        <v>170.48213709899983</v>
      </c>
      <c r="BM82" s="56">
        <f>SUMIFS($BL$3:$BL82,$D$3:$D82,D82)</f>
        <v>1978.4882317300003</v>
      </c>
      <c r="BN82" s="56">
        <f t="shared" si="90"/>
        <v>2590.7177340800008</v>
      </c>
      <c r="BO82" s="100">
        <f t="shared" si="110"/>
        <v>-0.36378813116757525</v>
      </c>
      <c r="BP82" s="100">
        <f t="shared" si="111"/>
        <v>-0.18482109896148791</v>
      </c>
      <c r="BQ82" s="100">
        <f t="shared" si="53"/>
        <v>-3.2872714165747663E-2</v>
      </c>
      <c r="BR82" s="2">
        <f t="shared" si="78"/>
        <v>0.1536398833866533</v>
      </c>
      <c r="BS82" s="2">
        <f>+Datos1[[#This Row],[RON acumulado 12 meses]]/Datos1[[#This Row],[PIB nominal (miles de millones de G.)]]*100</f>
        <v>2.3347758147860591</v>
      </c>
      <c r="BT82" s="56">
        <v>179.89636810000002</v>
      </c>
      <c r="BU82" s="56">
        <f>SUMIFS($BT$3:$BT82,$D$3:$D82,D82)</f>
        <v>870.64659644099993</v>
      </c>
      <c r="BV82" s="56">
        <f t="shared" si="98"/>
        <v>1454.3843783880004</v>
      </c>
      <c r="BW82" s="100">
        <f t="shared" si="112"/>
        <v>0.64938238617158883</v>
      </c>
      <c r="BX82" s="100">
        <f t="shared" si="113"/>
        <v>0.31276555558811747</v>
      </c>
      <c r="BY82" s="100">
        <f t="shared" si="54"/>
        <v>3.6424388103366567E-3</v>
      </c>
      <c r="BZ82" s="56">
        <f t="shared" si="79"/>
        <v>25.87274228799815</v>
      </c>
      <c r="CA82" s="56">
        <f>Datos1[[#This Row],[Adquisición Neta de Activos no Financieros]]/Datos1[[#This Row],[PIB nominal (miles de millones de G.)]]*100</f>
        <v>0.16212406464916732</v>
      </c>
      <c r="CB82" s="56">
        <f>+Datos1[[#This Row],[ANANF acumulado por año]]/Datos1[[#This Row],[PIB nominal (miles de millones de G.)]]*100</f>
        <v>0.78463376764512993</v>
      </c>
      <c r="CC82" s="56">
        <f>+Datos1[[#This Row],[ANANF acumulado 12 meses]]/Datos1[[#This Row],[PIB nominal (miles de millones de G.)]]*100</f>
        <v>1.3107029868187494</v>
      </c>
      <c r="CD82" s="4">
        <v>73.596733084999997</v>
      </c>
      <c r="CE82" s="4">
        <f t="shared" si="80"/>
        <v>10.584701228033252</v>
      </c>
      <c r="CF82" s="4">
        <f t="shared" si="81"/>
        <v>106.29963501500002</v>
      </c>
      <c r="CG82" s="4">
        <f t="shared" si="82"/>
        <v>15.288041059964899</v>
      </c>
      <c r="CH82" s="56">
        <f t="shared" si="83"/>
        <v>-9.4142310010001893</v>
      </c>
      <c r="CI82" s="56">
        <f>SUMIFS($CH$3:$CH82,$D$3:$D82,D82)</f>
        <v>1107.8416352890001</v>
      </c>
      <c r="CJ82" s="56">
        <f t="shared" si="91"/>
        <v>1136.3333556920006</v>
      </c>
      <c r="CK82" s="56">
        <f>Datos1[[#This Row],[Resultado Fiscal (miles de millones de G.)]]*1000/$F$207</f>
        <v>-1.3539571426654093</v>
      </c>
      <c r="CL82" s="56">
        <f t="shared" si="99"/>
        <v>163.42775774512847</v>
      </c>
      <c r="CM82" s="100">
        <f t="shared" si="114"/>
        <v>-1.0592479468282165</v>
      </c>
      <c r="CN82" s="100">
        <f t="shared" si="115"/>
        <v>-0.3719165154648163</v>
      </c>
      <c r="CO82" s="100">
        <f t="shared" si="55"/>
        <v>-7.5904030313192705E-2</v>
      </c>
      <c r="CP82" s="4">
        <f t="shared" si="84"/>
        <v>-8.4841812625140473E-3</v>
      </c>
      <c r="CQ82" s="4">
        <f t="shared" si="92"/>
        <v>1.0240728279673099</v>
      </c>
      <c r="CR82" s="73">
        <v>500.90539094000002</v>
      </c>
      <c r="CS82" s="113">
        <f>SUM(Datos1[[#This Row],[FFPP]:[MTESS]])</f>
        <v>0</v>
      </c>
      <c r="CT82" s="113"/>
      <c r="CU82" s="113"/>
      <c r="CV82" s="113"/>
      <c r="CW82" s="113"/>
      <c r="CX82" s="113"/>
      <c r="CY82" s="113"/>
      <c r="CZ82" s="113"/>
    </row>
    <row r="83" spans="1:104">
      <c r="A83">
        <v>81</v>
      </c>
      <c r="B83" s="3">
        <v>40057</v>
      </c>
      <c r="C83" s="14" t="str">
        <f t="shared" si="66"/>
        <v>Septiembre</v>
      </c>
      <c r="D83" s="14">
        <f t="shared" si="85"/>
        <v>2009</v>
      </c>
      <c r="E83" s="15">
        <f t="shared" si="67"/>
        <v>110962.162519976</v>
      </c>
      <c r="F83" s="15">
        <f t="shared" si="68"/>
        <v>4966.582265838344</v>
      </c>
      <c r="G83" s="56">
        <v>1187.0916968199999</v>
      </c>
      <c r="H83" s="4">
        <f t="shared" si="86"/>
        <v>1.0698166562915474</v>
      </c>
      <c r="I83" s="4">
        <f>SUMIFS($G$3:$G83,$D$3:$D83,D83)</f>
        <v>9971.1718605220012</v>
      </c>
      <c r="J83" s="2">
        <f t="shared" si="93"/>
        <v>13322.970678980999</v>
      </c>
      <c r="K83" s="95">
        <f t="shared" si="100"/>
        <v>6.4464364737893298E-2</v>
      </c>
      <c r="L83" s="95">
        <f t="shared" si="101"/>
        <v>8.890836247427214E-2</v>
      </c>
      <c r="M83" s="95">
        <f t="shared" si="50"/>
        <v>7.8769370660337845E-2</v>
      </c>
      <c r="N83" s="4">
        <v>842.44592483799988</v>
      </c>
      <c r="O83" s="4">
        <f t="shared" si="69"/>
        <v>0.75921909388377162</v>
      </c>
      <c r="P83" s="4">
        <f>SUMIFS($N$3:$N83,$D$3:$D83,D83)</f>
        <v>6766.9634938080007</v>
      </c>
      <c r="Q83" s="4">
        <f t="shared" si="89"/>
        <v>8864.2887228710024</v>
      </c>
      <c r="R83" s="97">
        <f t="shared" si="102"/>
        <v>2.2822894861187271E-2</v>
      </c>
      <c r="S83" s="97">
        <f t="shared" si="103"/>
        <v>3.1760464188504978E-2</v>
      </c>
      <c r="T83" s="97">
        <f t="shared" si="51"/>
        <v>5.105506182158881E-2</v>
      </c>
      <c r="U83" s="4">
        <v>479.75759911800003</v>
      </c>
      <c r="V83" s="4">
        <f t="shared" si="94"/>
        <v>4528.558729204</v>
      </c>
      <c r="W83" s="97">
        <f t="shared" si="56"/>
        <v>0.21420726575747828</v>
      </c>
      <c r="X83" s="97">
        <f t="shared" si="104"/>
        <v>0.28708975140368165</v>
      </c>
      <c r="Y83" s="4">
        <v>367.39328802933335</v>
      </c>
      <c r="Z83" s="4">
        <f t="shared" si="95"/>
        <v>4289.388534267001</v>
      </c>
      <c r="AA83" s="97">
        <f t="shared" si="57"/>
        <v>-5.1406981861790157E-2</v>
      </c>
      <c r="AB83" s="97">
        <f t="shared" si="105"/>
        <v>-0.19554535178898425</v>
      </c>
      <c r="AC83" s="4">
        <v>84.993367982999999</v>
      </c>
      <c r="AD83" s="4">
        <f t="shared" si="70"/>
        <v>7.6596711935655579E-2</v>
      </c>
      <c r="AE83" s="4">
        <v>65.747555287999987</v>
      </c>
      <c r="AF83" s="4">
        <f t="shared" si="71"/>
        <v>5.9252229584263703E-2</v>
      </c>
      <c r="AG83" s="4">
        <v>193.90484871100003</v>
      </c>
      <c r="AH83" s="4">
        <f t="shared" si="72"/>
        <v>39.041908163836581</v>
      </c>
      <c r="AI83" s="4">
        <v>150.434712171</v>
      </c>
      <c r="AJ83" s="4">
        <f t="shared" si="73"/>
        <v>21.635559296038178</v>
      </c>
      <c r="AK83" s="101">
        <f>SUMIFS($AJ$3:$AJ83,$D$3:$D83,D83)</f>
        <v>185.79596845503957</v>
      </c>
      <c r="AL83" s="4">
        <v>0</v>
      </c>
      <c r="AM83" s="4">
        <f t="shared" si="74"/>
        <v>0</v>
      </c>
      <c r="AN83" s="101">
        <f>SUMIFS($AM$3:$AM83,$D$3:$D83,D83)</f>
        <v>47.371516972947873</v>
      </c>
      <c r="AO83" s="4">
        <f t="shared" si="87"/>
        <v>43.470136540000027</v>
      </c>
      <c r="AP83" s="56">
        <v>940.13784316400006</v>
      </c>
      <c r="AQ83" s="4">
        <f t="shared" si="75"/>
        <v>0.84725984228610496</v>
      </c>
      <c r="AR83" s="4">
        <f>SUMIFS($AP$3:$AP83,$D$3:$D83,D83)</f>
        <v>7745.7297751360002</v>
      </c>
      <c r="AS83" s="4">
        <f t="shared" si="96"/>
        <v>10791.922694256002</v>
      </c>
      <c r="AT83" s="97">
        <f t="shared" si="106"/>
        <v>0.19985458348528407</v>
      </c>
      <c r="AU83" s="97">
        <f t="shared" si="107"/>
        <v>0.16764570669354617</v>
      </c>
      <c r="AV83" s="98">
        <f t="shared" si="65"/>
        <v>0.14031563047398565</v>
      </c>
      <c r="AW83" s="4">
        <v>484.85936164099996</v>
      </c>
      <c r="AX83" s="4">
        <f>SUMIFS($AW$3:$AW83,$D$3:$D83,D83)</f>
        <v>4082.5091311859996</v>
      </c>
      <c r="AY83" s="4">
        <f t="shared" si="97"/>
        <v>5708.5543556439998</v>
      </c>
      <c r="AZ83" s="97">
        <f t="shared" si="108"/>
        <v>0.2023077512914222</v>
      </c>
      <c r="BA83" s="97">
        <f t="shared" si="109"/>
        <v>0.13539718030953485</v>
      </c>
      <c r="BB83" s="97">
        <f t="shared" si="58"/>
        <v>0.13322603183560844</v>
      </c>
      <c r="BC83" s="4">
        <v>350.74054290599997</v>
      </c>
      <c r="BD83" s="4">
        <f t="shared" si="88"/>
        <v>134.11881873499999</v>
      </c>
      <c r="BE83" s="4">
        <v>86.184747516999991</v>
      </c>
      <c r="BF83" s="4">
        <v>37.926660558000002</v>
      </c>
      <c r="BG83" s="4">
        <f t="shared" si="76"/>
        <v>5.4546221517716003</v>
      </c>
      <c r="BH83" s="4">
        <f>Datos1[[#This Row],[Intereses]]/Datos1[[#This Row],[PIB nominal (miles de millones de G.)]]*100</f>
        <v>3.4179813818221362E-2</v>
      </c>
      <c r="BI83" s="4">
        <v>168.44981281999998</v>
      </c>
      <c r="BJ83" s="4">
        <v>139.17255263900003</v>
      </c>
      <c r="BK83" s="4">
        <v>23.544707989000003</v>
      </c>
      <c r="BL83" s="56">
        <f t="shared" si="77"/>
        <v>246.95385365599986</v>
      </c>
      <c r="BM83" s="56">
        <f>SUMIFS($BL$3:$BL83,$D$3:$D83,D83)</f>
        <v>2225.4420853860001</v>
      </c>
      <c r="BN83" s="56">
        <f t="shared" si="90"/>
        <v>2531.0479847250008</v>
      </c>
      <c r="BO83" s="100">
        <f t="shared" si="110"/>
        <v>-0.19460259669853142</v>
      </c>
      <c r="BP83" s="100">
        <f t="shared" si="111"/>
        <v>-0.18591824052650396</v>
      </c>
      <c r="BQ83" s="100">
        <f t="shared" si="53"/>
        <v>-0.12304509674391195</v>
      </c>
      <c r="BR83" s="2">
        <f t="shared" si="78"/>
        <v>0.22255681400544253</v>
      </c>
      <c r="BS83" s="2">
        <f>+Datos1[[#This Row],[RON acumulado 12 meses]]/Datos1[[#This Row],[PIB nominal (miles de millones de G.)]]*100</f>
        <v>2.2810009531576565</v>
      </c>
      <c r="BT83" s="56">
        <v>276.42658779599998</v>
      </c>
      <c r="BU83" s="56">
        <f>SUMIFS($BT$3:$BT83,$D$3:$D83,D83)</f>
        <v>1147.0731842369999</v>
      </c>
      <c r="BV83" s="56">
        <f t="shared" si="98"/>
        <v>1677.6481150950003</v>
      </c>
      <c r="BW83" s="100">
        <f t="shared" si="112"/>
        <v>4.1996193231479229</v>
      </c>
      <c r="BX83" s="100">
        <f t="shared" si="113"/>
        <v>0.60121117752511011</v>
      </c>
      <c r="BY83" s="100">
        <f t="shared" si="54"/>
        <v>0.2316138876387448</v>
      </c>
      <c r="BZ83" s="56">
        <f t="shared" si="79"/>
        <v>39.755743504621655</v>
      </c>
      <c r="CA83" s="56">
        <f>Datos1[[#This Row],[Adquisición Neta de Activos no Financieros]]/Datos1[[#This Row],[PIB nominal (miles de millones de G.)]]*100</f>
        <v>0.24911788083278943</v>
      </c>
      <c r="CB83" s="56">
        <f>+Datos1[[#This Row],[ANANF acumulado por año]]/Datos1[[#This Row],[PIB nominal (miles de millones de G.)]]*100</f>
        <v>1.0337516484779194</v>
      </c>
      <c r="CC83" s="56">
        <f>+Datos1[[#This Row],[ANANF acumulado 12 meses]]/Datos1[[#This Row],[PIB nominal (miles de millones de G.)]]*100</f>
        <v>1.5119100754664736</v>
      </c>
      <c r="CD83" s="4">
        <v>117.20193401700003</v>
      </c>
      <c r="CE83" s="4">
        <f t="shared" si="80"/>
        <v>16.856012528230718</v>
      </c>
      <c r="CF83" s="4">
        <f t="shared" si="81"/>
        <v>159.22465377899994</v>
      </c>
      <c r="CG83" s="4">
        <f t="shared" si="82"/>
        <v>22.899730976390931</v>
      </c>
      <c r="CH83" s="56">
        <f t="shared" si="83"/>
        <v>-29.472734140000114</v>
      </c>
      <c r="CI83" s="56">
        <f>SUMIFS($CH$3:$CH83,$D$3:$D83,D83)</f>
        <v>1078.3689011490001</v>
      </c>
      <c r="CJ83" s="56">
        <f t="shared" si="91"/>
        <v>853.39986963000069</v>
      </c>
      <c r="CK83" s="56">
        <f>Datos1[[#This Row],[Resultado Fiscal (miles de millones de G.)]]*1000/$F$207</f>
        <v>-4.2387762631373969</v>
      </c>
      <c r="CL83" s="56">
        <f t="shared" si="99"/>
        <v>122.7361904453491</v>
      </c>
      <c r="CM83" s="100">
        <f t="shared" si="114"/>
        <v>-1.1162812542632639</v>
      </c>
      <c r="CN83" s="100">
        <f t="shared" si="115"/>
        <v>-0.46544090446179942</v>
      </c>
      <c r="CO83" s="100">
        <f t="shared" si="55"/>
        <v>-0.44003506674892445</v>
      </c>
      <c r="CP83" s="4">
        <f t="shared" si="84"/>
        <v>-2.6561066827346911E-2</v>
      </c>
      <c r="CQ83" s="4">
        <f t="shared" si="92"/>
        <v>0.76909087769118334</v>
      </c>
      <c r="CR83" s="73">
        <v>500.59352158899998</v>
      </c>
      <c r="CS83" s="113">
        <f>SUM(Datos1[[#This Row],[FFPP]:[MTESS]])</f>
        <v>0</v>
      </c>
      <c r="CT83" s="113"/>
      <c r="CU83" s="113"/>
      <c r="CV83" s="113"/>
      <c r="CW83" s="113"/>
      <c r="CX83" s="113"/>
      <c r="CY83" s="113"/>
      <c r="CZ83" s="113"/>
    </row>
    <row r="84" spans="1:104">
      <c r="A84">
        <v>82</v>
      </c>
      <c r="B84" s="3">
        <v>40087</v>
      </c>
      <c r="C84" s="14" t="str">
        <f t="shared" si="66"/>
        <v>Octubre</v>
      </c>
      <c r="D84" s="14">
        <f t="shared" si="85"/>
        <v>2009</v>
      </c>
      <c r="E84" s="15">
        <f t="shared" si="67"/>
        <v>110962.162519976</v>
      </c>
      <c r="F84" s="15">
        <f t="shared" si="68"/>
        <v>4966.582265838344</v>
      </c>
      <c r="G84" s="56">
        <v>1106.391461536</v>
      </c>
      <c r="H84" s="4">
        <f t="shared" si="86"/>
        <v>0.99708895033189493</v>
      </c>
      <c r="I84" s="4">
        <f>SUMIFS($G$3:$G84,$D$3:$D84,D84)</f>
        <v>11077.563322058002</v>
      </c>
      <c r="J84" s="2">
        <f t="shared" si="93"/>
        <v>13439.480739800998</v>
      </c>
      <c r="K84" s="95">
        <f t="shared" si="100"/>
        <v>6.9552420290403871E-2</v>
      </c>
      <c r="L84" s="95">
        <f t="shared" si="101"/>
        <v>0.11770103038174673</v>
      </c>
      <c r="M84" s="95">
        <f t="shared" si="50"/>
        <v>8.5972624680650034E-2</v>
      </c>
      <c r="N84" s="4">
        <v>718.75029327699997</v>
      </c>
      <c r="O84" s="4">
        <f t="shared" si="69"/>
        <v>0.64774358840348545</v>
      </c>
      <c r="P84" s="4">
        <f>SUMIFS($N$3:$N84,$D$3:$D84,D84)</f>
        <v>7485.7137870850011</v>
      </c>
      <c r="Q84" s="4">
        <f t="shared" si="89"/>
        <v>8891.5418004910007</v>
      </c>
      <c r="R84" s="97">
        <f t="shared" si="102"/>
        <v>3.9411695380590306E-2</v>
      </c>
      <c r="S84" s="97">
        <f t="shared" si="103"/>
        <v>3.2490214832768372E-2</v>
      </c>
      <c r="T84" s="97">
        <f t="shared" si="51"/>
        <v>3.9320292210054619E-2</v>
      </c>
      <c r="U84" s="4">
        <v>288.34684816100003</v>
      </c>
      <c r="V84" s="4">
        <f t="shared" si="94"/>
        <v>4581.9474735660006</v>
      </c>
      <c r="W84" s="97">
        <f t="shared" si="56"/>
        <v>0.22409058918151237</v>
      </c>
      <c r="X84" s="97">
        <f t="shared" si="104"/>
        <v>0.22722665657734642</v>
      </c>
      <c r="Y84" s="4">
        <v>419.83251127133337</v>
      </c>
      <c r="Z84" s="4">
        <f t="shared" si="95"/>
        <v>4258.0570149583336</v>
      </c>
      <c r="AA84" s="97">
        <f t="shared" si="57"/>
        <v>-7.4530843307780148E-2</v>
      </c>
      <c r="AB84" s="97">
        <f t="shared" si="105"/>
        <v>-6.944596019409599E-2</v>
      </c>
      <c r="AC84" s="4">
        <v>88.164444740000008</v>
      </c>
      <c r="AD84" s="4">
        <f t="shared" si="70"/>
        <v>7.9454512004601713E-2</v>
      </c>
      <c r="AE84" s="4">
        <v>64.416042255999997</v>
      </c>
      <c r="AF84" s="4">
        <f t="shared" si="71"/>
        <v>5.8052259250448081E-2</v>
      </c>
      <c r="AG84" s="4">
        <v>235.06068126299999</v>
      </c>
      <c r="AH84" s="4">
        <f t="shared" si="72"/>
        <v>47.328458219612813</v>
      </c>
      <c r="AI84" s="4">
        <v>145.97044163499999</v>
      </c>
      <c r="AJ84" s="4">
        <f t="shared" si="73"/>
        <v>20.993506750443562</v>
      </c>
      <c r="AK84" s="101">
        <f>SUMIFS($AJ$3:$AJ84,$D$3:$D84,D84)</f>
        <v>206.78947520548314</v>
      </c>
      <c r="AL84" s="4">
        <v>29.25</v>
      </c>
      <c r="AM84" s="4">
        <f t="shared" si="74"/>
        <v>4.2067425813914792</v>
      </c>
      <c r="AN84" s="101">
        <f>SUMIFS($AM$3:$AM84,$D$3:$D84,D84)</f>
        <v>51.578259554339354</v>
      </c>
      <c r="AO84" s="4">
        <f t="shared" si="87"/>
        <v>59.840239628000006</v>
      </c>
      <c r="AP84" s="56">
        <v>1015.8569623990001</v>
      </c>
      <c r="AQ84" s="4">
        <f t="shared" si="75"/>
        <v>0.91549852609993965</v>
      </c>
      <c r="AR84" s="4">
        <f>SUMIFS($AP$3:$AP84,$D$3:$D84,D84)</f>
        <v>8761.5867375350008</v>
      </c>
      <c r="AS84" s="4">
        <f t="shared" si="96"/>
        <v>11036.053974734001</v>
      </c>
      <c r="AT84" s="97">
        <f t="shared" si="106"/>
        <v>0.31634463669823965</v>
      </c>
      <c r="AU84" s="97">
        <f t="shared" si="107"/>
        <v>0.1831418942666263</v>
      </c>
      <c r="AV84" s="98">
        <f t="shared" si="65"/>
        <v>0.16157522000871039</v>
      </c>
      <c r="AW84" s="4">
        <v>474.99916317000009</v>
      </c>
      <c r="AX84" s="4">
        <f>SUMIFS($AW$3:$AW84,$D$3:$D84,D84)</f>
        <v>4557.5082943560001</v>
      </c>
      <c r="AY84" s="4">
        <f t="shared" si="97"/>
        <v>5771.9041143250006</v>
      </c>
      <c r="AZ84" s="97">
        <f t="shared" si="108"/>
        <v>0.15389250656062314</v>
      </c>
      <c r="BA84" s="97">
        <f t="shared" si="109"/>
        <v>0.13729710310377885</v>
      </c>
      <c r="BB84" s="97">
        <f t="shared" si="58"/>
        <v>0.13249767117751476</v>
      </c>
      <c r="BC84" s="4">
        <v>350.42040747599998</v>
      </c>
      <c r="BD84" s="4">
        <f t="shared" si="88"/>
        <v>124.57875569400011</v>
      </c>
      <c r="BE84" s="4">
        <v>89.822713303</v>
      </c>
      <c r="BF84" s="4">
        <v>37.894451320999998</v>
      </c>
      <c r="BG84" s="4">
        <f t="shared" si="76"/>
        <v>5.449989810957856</v>
      </c>
      <c r="BH84" s="4">
        <f>Datos1[[#This Row],[Intereses]]/Datos1[[#This Row],[PIB nominal (miles de millones de G.)]]*100</f>
        <v>3.4150786592842437E-2</v>
      </c>
      <c r="BI84" s="4">
        <v>263.04619725600003</v>
      </c>
      <c r="BJ84" s="4">
        <v>132.19019811199999</v>
      </c>
      <c r="BK84" s="4">
        <v>17.904239236999999</v>
      </c>
      <c r="BL84" s="56">
        <f t="shared" si="77"/>
        <v>90.534499136999898</v>
      </c>
      <c r="BM84" s="56">
        <f>SUMIFS($BL$3:$BL84,$D$3:$D84,D84)</f>
        <v>2315.9765845229999</v>
      </c>
      <c r="BN84" s="56">
        <f t="shared" si="90"/>
        <v>2403.4267650670004</v>
      </c>
      <c r="BO84" s="100">
        <f t="shared" si="110"/>
        <v>-0.58500056914815612</v>
      </c>
      <c r="BP84" s="100">
        <f t="shared" si="111"/>
        <v>-0.21541242301067298</v>
      </c>
      <c r="BQ84" s="100">
        <f t="shared" si="53"/>
        <v>-0.16390524177442267</v>
      </c>
      <c r="BR84" s="2">
        <f t="shared" si="78"/>
        <v>8.1590424231955103E-2</v>
      </c>
      <c r="BS84" s="2">
        <f>+Datos1[[#This Row],[RON acumulado 12 meses]]/Datos1[[#This Row],[PIB nominal (miles de millones de G.)]]*100</f>
        <v>2.1659876758749386</v>
      </c>
      <c r="BT84" s="56">
        <v>222.670541262</v>
      </c>
      <c r="BU84" s="56">
        <f>SUMIFS($BT$3:$BT84,$D$3:$D84,D84)</f>
        <v>1369.7437254989998</v>
      </c>
      <c r="BV84" s="56">
        <f t="shared" si="98"/>
        <v>1814.416658634</v>
      </c>
      <c r="BW84" s="100">
        <f t="shared" si="112"/>
        <v>1.592146249962946</v>
      </c>
      <c r="BX84" s="100">
        <f t="shared" si="113"/>
        <v>0.7073128560528319</v>
      </c>
      <c r="BY84" s="100">
        <f t="shared" si="54"/>
        <v>0.37763874733556113</v>
      </c>
      <c r="BZ84" s="56">
        <f t="shared" si="79"/>
        <v>32.024534958917741</v>
      </c>
      <c r="CA84" s="56">
        <f>Datos1[[#This Row],[Adquisición Neta de Activos no Financieros]]/Datos1[[#This Row],[PIB nominal (miles de millones de G.)]]*100</f>
        <v>0.20067249610597093</v>
      </c>
      <c r="CB84" s="56">
        <f>+Datos1[[#This Row],[ANANF acumulado por año]]/Datos1[[#This Row],[PIB nominal (miles de millones de G.)]]*100</f>
        <v>1.2344241445838902</v>
      </c>
      <c r="CC84" s="56">
        <f>+Datos1[[#This Row],[ANANF acumulado 12 meses]]/Datos1[[#This Row],[PIB nominal (miles de millones de G.)]]*100</f>
        <v>1.6351669951523873</v>
      </c>
      <c r="CD84" s="4">
        <v>56.814902325999995</v>
      </c>
      <c r="CE84" s="4">
        <f t="shared" si="80"/>
        <v>8.171133978542974</v>
      </c>
      <c r="CF84" s="4">
        <f t="shared" si="81"/>
        <v>165.85563893599999</v>
      </c>
      <c r="CG84" s="4">
        <f t="shared" si="82"/>
        <v>23.853400980374762</v>
      </c>
      <c r="CH84" s="56">
        <f t="shared" si="83"/>
        <v>-132.1360421250001</v>
      </c>
      <c r="CI84" s="56">
        <f>SUMIFS($CH$3:$CH84,$D$3:$D84,D84)</f>
        <v>946.23285902399994</v>
      </c>
      <c r="CJ84" s="56">
        <f t="shared" si="91"/>
        <v>589.0101064330006</v>
      </c>
      <c r="CK84" s="56">
        <f>Datos1[[#This Row],[Resultado Fiscal (miles de millones de G.)]]*1000/$F$207</f>
        <v>-19.003839827137647</v>
      </c>
      <c r="CL84" s="56">
        <f t="shared" si="99"/>
        <v>84.71158617441472</v>
      </c>
      <c r="CM84" s="100">
        <f t="shared" si="114"/>
        <v>-1.9991102031304222</v>
      </c>
      <c r="CN84" s="100">
        <f t="shared" si="115"/>
        <v>-0.55980140763948216</v>
      </c>
      <c r="CO84" s="100">
        <f t="shared" si="55"/>
        <v>-0.62183267895908201</v>
      </c>
      <c r="CP84" s="4">
        <f t="shared" si="84"/>
        <v>-0.11908207187401586</v>
      </c>
      <c r="CQ84" s="4">
        <f t="shared" si="92"/>
        <v>0.53082068072255162</v>
      </c>
      <c r="CR84" s="73">
        <v>493.96851112600001</v>
      </c>
      <c r="CS84" s="113">
        <f>SUM(Datos1[[#This Row],[FFPP]:[MTESS]])</f>
        <v>0</v>
      </c>
      <c r="CT84" s="113"/>
      <c r="CU84" s="113"/>
      <c r="CV84" s="113"/>
      <c r="CW84" s="113"/>
      <c r="CX84" s="113"/>
      <c r="CY84" s="113"/>
      <c r="CZ84" s="113"/>
    </row>
    <row r="85" spans="1:104">
      <c r="A85">
        <v>83</v>
      </c>
      <c r="B85" s="3">
        <v>40118</v>
      </c>
      <c r="C85" s="14" t="str">
        <f t="shared" si="66"/>
        <v>Noviembre</v>
      </c>
      <c r="D85" s="14">
        <f t="shared" si="85"/>
        <v>2009</v>
      </c>
      <c r="E85" s="15">
        <f t="shared" si="67"/>
        <v>110962.162519976</v>
      </c>
      <c r="F85" s="15">
        <f t="shared" si="68"/>
        <v>4966.582265838344</v>
      </c>
      <c r="G85" s="56">
        <v>1366.3515112499999</v>
      </c>
      <c r="H85" s="4">
        <f t="shared" si="86"/>
        <v>1.2313670536152554</v>
      </c>
      <c r="I85" s="4">
        <f>SUMIFS($G$3:$G85,$D$3:$D85,D85)</f>
        <v>12443.914833308001</v>
      </c>
      <c r="J85" s="2">
        <f t="shared" si="93"/>
        <v>13597.057976902001</v>
      </c>
      <c r="K85" s="95">
        <f t="shared" si="100"/>
        <v>7.59076212227634E-2</v>
      </c>
      <c r="L85" s="95">
        <f t="shared" si="101"/>
        <v>0.13036117699637284</v>
      </c>
      <c r="M85" s="95">
        <f t="shared" si="50"/>
        <v>8.1448406034064336E-2</v>
      </c>
      <c r="N85" s="4">
        <v>928.69077156799995</v>
      </c>
      <c r="O85" s="4">
        <f t="shared" si="69"/>
        <v>0.83694364860707537</v>
      </c>
      <c r="P85" s="4">
        <f>SUMIFS($N$3:$N85,$D$3:$D85,D85)</f>
        <v>8414.404558653001</v>
      </c>
      <c r="Q85" s="4">
        <f t="shared" si="89"/>
        <v>9060.1325556850024</v>
      </c>
      <c r="R85" s="97">
        <f t="shared" si="102"/>
        <v>0.22180075195662985</v>
      </c>
      <c r="S85" s="97">
        <f t="shared" si="103"/>
        <v>5.0454055859679547E-2</v>
      </c>
      <c r="T85" s="97">
        <f t="shared" si="51"/>
        <v>5.3718987525612771E-2</v>
      </c>
      <c r="U85" s="4">
        <v>491.33030965600005</v>
      </c>
      <c r="V85" s="4">
        <f t="shared" si="94"/>
        <v>4700.047799330001</v>
      </c>
      <c r="W85" s="97">
        <f t="shared" si="56"/>
        <v>0.24163959473922514</v>
      </c>
      <c r="X85" s="97">
        <f t="shared" si="104"/>
        <v>0.31642775463124173</v>
      </c>
      <c r="Y85" s="4">
        <v>433.11284950533337</v>
      </c>
      <c r="Z85" s="4">
        <f t="shared" si="95"/>
        <v>4300.2286008066667</v>
      </c>
      <c r="AA85" s="97">
        <f t="shared" si="57"/>
        <v>-7.238647160571765E-2</v>
      </c>
      <c r="AB85" s="97">
        <f t="shared" si="105"/>
        <v>0.10787192289155079</v>
      </c>
      <c r="AC85" s="4">
        <v>79.208954049000013</v>
      </c>
      <c r="AD85" s="4">
        <f t="shared" si="70"/>
        <v>7.1383751226676395E-2</v>
      </c>
      <c r="AE85" s="4">
        <v>84.138014760000004</v>
      </c>
      <c r="AF85" s="4">
        <f t="shared" si="71"/>
        <v>7.5825860680079155E-2</v>
      </c>
      <c r="AG85" s="4">
        <v>274.31377087300001</v>
      </c>
      <c r="AH85" s="4">
        <f t="shared" si="72"/>
        <v>55.231899159269581</v>
      </c>
      <c r="AI85" s="4">
        <v>139.650022506</v>
      </c>
      <c r="AJ85" s="4">
        <f t="shared" si="73"/>
        <v>20.084502433103204</v>
      </c>
      <c r="AK85" s="101">
        <f>SUMIFS($AJ$3:$AJ85,$D$3:$D85,D85)</f>
        <v>226.87397763858635</v>
      </c>
      <c r="AL85" s="4">
        <v>91.555000000000007</v>
      </c>
      <c r="AM85" s="4">
        <f t="shared" si="74"/>
        <v>13.167463830403312</v>
      </c>
      <c r="AN85" s="101">
        <f>SUMIFS($AM$3:$AM85,$D$3:$D85,D85)</f>
        <v>64.745723384742661</v>
      </c>
      <c r="AO85" s="4">
        <f t="shared" si="87"/>
        <v>43.108748367000004</v>
      </c>
      <c r="AP85" s="56">
        <v>960.81370928300009</v>
      </c>
      <c r="AQ85" s="4">
        <f t="shared" si="75"/>
        <v>0.86589310037106493</v>
      </c>
      <c r="AR85" s="4">
        <f>SUMIFS($AP$3:$AP85,$D$3:$D85,D85)</f>
        <v>9722.400446818001</v>
      </c>
      <c r="AS85" s="4">
        <f t="shared" si="96"/>
        <v>11174.862801323001</v>
      </c>
      <c r="AT85" s="97">
        <f t="shared" si="106"/>
        <v>0.16886618256338637</v>
      </c>
      <c r="AU85" s="97">
        <f t="shared" si="107"/>
        <v>0.18171559182068098</v>
      </c>
      <c r="AV85" s="98">
        <f t="shared" si="65"/>
        <v>0.17099270976448744</v>
      </c>
      <c r="AW85" s="4">
        <v>482.47230833700007</v>
      </c>
      <c r="AX85" s="4">
        <f>SUMIFS($AW$3:$AW85,$D$3:$D85,D85)</f>
        <v>5039.980602693</v>
      </c>
      <c r="AY85" s="4">
        <f t="shared" si="97"/>
        <v>5827.5815815360002</v>
      </c>
      <c r="AZ85" s="97">
        <f t="shared" si="108"/>
        <v>0.1304548739720186</v>
      </c>
      <c r="BA85" s="97">
        <f t="shared" si="109"/>
        <v>0.13663852046165381</v>
      </c>
      <c r="BB85" s="97">
        <f t="shared" si="58"/>
        <v>0.1340682873557153</v>
      </c>
      <c r="BC85" s="4">
        <v>351.22544118299999</v>
      </c>
      <c r="BD85" s="4">
        <f t="shared" si="88"/>
        <v>131.24686715400009</v>
      </c>
      <c r="BE85" s="4">
        <v>105.79067871399999</v>
      </c>
      <c r="BF85" s="4">
        <v>17.533006349000001</v>
      </c>
      <c r="BG85" s="4">
        <f t="shared" si="76"/>
        <v>2.5216015175434343</v>
      </c>
      <c r="BH85" s="4">
        <f>Datos1[[#This Row],[Intereses]]/Datos1[[#This Row],[PIB nominal (miles de millones de G.)]]*100</f>
        <v>1.5800887393343305E-2</v>
      </c>
      <c r="BI85" s="4">
        <v>190.86915646599999</v>
      </c>
      <c r="BJ85" s="4">
        <v>131.14247412500001</v>
      </c>
      <c r="BK85" s="4">
        <v>33.006085291999995</v>
      </c>
      <c r="BL85" s="56">
        <f t="shared" si="77"/>
        <v>405.53780196699984</v>
      </c>
      <c r="BM85" s="56">
        <f>SUMIFS($BL$3:$BL85,$D$3:$D85,D85)</f>
        <v>2721.5143864899997</v>
      </c>
      <c r="BN85" s="56">
        <f t="shared" si="90"/>
        <v>2422.1951755790001</v>
      </c>
      <c r="BO85" s="100">
        <f t="shared" si="110"/>
        <v>4.8526100892819501E-2</v>
      </c>
      <c r="BP85" s="100">
        <f t="shared" si="111"/>
        <v>-0.18483581274231042</v>
      </c>
      <c r="BQ85" s="100">
        <f t="shared" si="53"/>
        <v>-0.20057951709092336</v>
      </c>
      <c r="BR85" s="2">
        <f t="shared" si="78"/>
        <v>0.36547395324419052</v>
      </c>
      <c r="BS85" s="2">
        <f>+Datos1[[#This Row],[RON acumulado 12 meses]]/Datos1[[#This Row],[PIB nominal (miles de millones de G.)]]*100</f>
        <v>2.1829019195105754</v>
      </c>
      <c r="BT85" s="56">
        <v>220.98430591399998</v>
      </c>
      <c r="BU85" s="56">
        <f>SUMIFS($BT$3:$BT85,$D$3:$D85,D85)</f>
        <v>1590.7280314129998</v>
      </c>
      <c r="BV85" s="56">
        <f t="shared" si="98"/>
        <v>1874.1181472170001</v>
      </c>
      <c r="BW85" s="100">
        <f t="shared" si="112"/>
        <v>0.37016645400281423</v>
      </c>
      <c r="BX85" s="100">
        <f t="shared" si="113"/>
        <v>0.65088073223649179</v>
      </c>
      <c r="BY85" s="100">
        <f t="shared" si="54"/>
        <v>0.42891896244474337</v>
      </c>
      <c r="BZ85" s="56">
        <f t="shared" si="79"/>
        <v>31.782020154108189</v>
      </c>
      <c r="CA85" s="56">
        <f>Datos1[[#This Row],[Adquisición Neta de Activos no Financieros]]/Datos1[[#This Row],[PIB nominal (miles de millones de G.)]]*100</f>
        <v>0.19915284714662729</v>
      </c>
      <c r="CB85" s="56">
        <f>+Datos1[[#This Row],[ANANF acumulado por año]]/Datos1[[#This Row],[PIB nominal (miles de millones de G.)]]*100</f>
        <v>1.4335769917305177</v>
      </c>
      <c r="CC85" s="56">
        <f>+Datos1[[#This Row],[ANANF acumulado 12 meses]]/Datos1[[#This Row],[PIB nominal (miles de millones de G.)]]*100</f>
        <v>1.6889704604302491</v>
      </c>
      <c r="CD85" s="4">
        <v>139.718408866</v>
      </c>
      <c r="CE85" s="4">
        <f t="shared" si="80"/>
        <v>20.094337777123659</v>
      </c>
      <c r="CF85" s="4">
        <f t="shared" si="81"/>
        <v>81.265897047999971</v>
      </c>
      <c r="CG85" s="4">
        <f t="shared" si="82"/>
        <v>11.687682376984533</v>
      </c>
      <c r="CH85" s="56">
        <f t="shared" si="83"/>
        <v>184.55349605299986</v>
      </c>
      <c r="CI85" s="56">
        <f>SUMIFS($CH$3:$CH85,$D$3:$D85,D85)</f>
        <v>1130.7863550769998</v>
      </c>
      <c r="CJ85" s="56">
        <f t="shared" si="91"/>
        <v>548.07702836200042</v>
      </c>
      <c r="CK85" s="56">
        <f>Datos1[[#This Row],[Resultado Fiscal (miles de millones de G.)]]*1000/$F$207</f>
        <v>26.542531637292953</v>
      </c>
      <c r="CL85" s="56">
        <f t="shared" si="99"/>
        <v>78.824580276681417</v>
      </c>
      <c r="CM85" s="100">
        <f t="shared" si="114"/>
        <v>-0.18153221862553204</v>
      </c>
      <c r="CN85" s="100">
        <f t="shared" si="115"/>
        <v>-0.52388857152643076</v>
      </c>
      <c r="CO85" s="100">
        <f t="shared" si="55"/>
        <v>-0.68104926996361947</v>
      </c>
      <c r="CP85" s="4">
        <f t="shared" si="84"/>
        <v>0.16632110609756326</v>
      </c>
      <c r="CQ85" s="4">
        <f t="shared" si="92"/>
        <v>0.49393145908032632</v>
      </c>
      <c r="CR85" s="73">
        <v>492.35387392199999</v>
      </c>
      <c r="CS85" s="113">
        <f>SUM(Datos1[[#This Row],[FFPP]:[MTESS]])</f>
        <v>0</v>
      </c>
      <c r="CT85" s="113"/>
      <c r="CU85" s="113"/>
      <c r="CV85" s="113"/>
      <c r="CW85" s="113"/>
      <c r="CX85" s="113"/>
      <c r="CY85" s="113"/>
      <c r="CZ85" s="113"/>
    </row>
    <row r="86" spans="1:104">
      <c r="A86">
        <v>84</v>
      </c>
      <c r="B86" s="3">
        <v>40148</v>
      </c>
      <c r="C86" s="14" t="str">
        <f t="shared" si="66"/>
        <v>Diciembre</v>
      </c>
      <c r="D86" s="14">
        <f t="shared" si="85"/>
        <v>2009</v>
      </c>
      <c r="E86" s="15">
        <f t="shared" si="67"/>
        <v>110962.162519976</v>
      </c>
      <c r="F86" s="15">
        <f t="shared" si="68"/>
        <v>4966.582265838344</v>
      </c>
      <c r="G86" s="56">
        <v>1434.017582059</v>
      </c>
      <c r="H86" s="4">
        <f t="shared" si="86"/>
        <v>1.292348264932959</v>
      </c>
      <c r="I86" s="4">
        <f>SUMIFS($G$3:$G86,$D$3:$D86,D86)</f>
        <v>13877.932415367</v>
      </c>
      <c r="J86" s="2">
        <f t="shared" si="93"/>
        <v>13877.932415367</v>
      </c>
      <c r="K86" s="95">
        <f t="shared" si="100"/>
        <v>9.1108531025995365E-2</v>
      </c>
      <c r="L86" s="95">
        <f t="shared" si="101"/>
        <v>0.24357291635936762</v>
      </c>
      <c r="M86" s="95">
        <f t="shared" si="50"/>
        <v>9.1108531025995365E-2</v>
      </c>
      <c r="N86" s="4">
        <v>792.41945488299996</v>
      </c>
      <c r="O86" s="4">
        <f t="shared" si="69"/>
        <v>0.71413483379106313</v>
      </c>
      <c r="P86" s="4">
        <f>SUMIFS($N$3:$N86,$D$3:$D86,D86)</f>
        <v>9206.8240135360011</v>
      </c>
      <c r="Q86" s="4">
        <f t="shared" si="89"/>
        <v>9206.8240135360011</v>
      </c>
      <c r="R86" s="97">
        <f t="shared" si="102"/>
        <v>0.22717221264254772</v>
      </c>
      <c r="S86" s="97">
        <f t="shared" si="103"/>
        <v>6.3637060626957842E-2</v>
      </c>
      <c r="T86" s="97">
        <f t="shared" si="51"/>
        <v>6.3637060626957842E-2</v>
      </c>
      <c r="U86" s="4">
        <v>310.17999202400011</v>
      </c>
      <c r="V86" s="4">
        <f t="shared" si="94"/>
        <v>4763.7294028540009</v>
      </c>
      <c r="W86" s="97">
        <f t="shared" si="56"/>
        <v>0.25377410918827636</v>
      </c>
      <c r="X86" s="97">
        <f t="shared" si="104"/>
        <v>0.25834490810068789</v>
      </c>
      <c r="Y86" s="4">
        <v>442.36651634533331</v>
      </c>
      <c r="Z86" s="4">
        <f t="shared" si="95"/>
        <v>4375.65234212</v>
      </c>
      <c r="AA86" s="97">
        <f t="shared" si="57"/>
        <v>-6.5282560270947476E-2</v>
      </c>
      <c r="AB86" s="97">
        <f t="shared" si="105"/>
        <v>0.20554633159558944</v>
      </c>
      <c r="AC86" s="4">
        <v>176.27139642999998</v>
      </c>
      <c r="AD86" s="4">
        <f t="shared" si="70"/>
        <v>0.15885721080667173</v>
      </c>
      <c r="AE86" s="4">
        <v>164.81367543300001</v>
      </c>
      <c r="AF86" s="4">
        <f t="shared" si="71"/>
        <v>0.14853141980116813</v>
      </c>
      <c r="AG86" s="4">
        <v>300.513055313</v>
      </c>
      <c r="AH86" s="4">
        <f t="shared" si="72"/>
        <v>60.507012514424602</v>
      </c>
      <c r="AI86" s="4">
        <v>133.306309164</v>
      </c>
      <c r="AJ86" s="4">
        <f t="shared" si="73"/>
        <v>19.172147936011488</v>
      </c>
      <c r="AK86" s="101">
        <f>SUMIFS($AJ$3:$AJ86,$D$3:$D86,D86)</f>
        <v>246.04612557459785</v>
      </c>
      <c r="AL86" s="4">
        <v>106.61</v>
      </c>
      <c r="AM86" s="4">
        <f t="shared" si="74"/>
        <v>15.332677832551987</v>
      </c>
      <c r="AN86" s="101">
        <f>SUMIFS($AM$3:$AM86,$D$3:$D86,D86)</f>
        <v>80.07840121729464</v>
      </c>
      <c r="AO86" s="4">
        <f t="shared" si="87"/>
        <v>60.596746148999998</v>
      </c>
      <c r="AP86" s="56">
        <v>1986.6967264730001</v>
      </c>
      <c r="AQ86" s="4">
        <f t="shared" si="75"/>
        <v>1.7904271882907334</v>
      </c>
      <c r="AR86" s="4">
        <f>SUMIFS($AP$3:$AP86,$D$3:$D86,D86)</f>
        <v>11709.097173291</v>
      </c>
      <c r="AS86" s="4">
        <f t="shared" si="96"/>
        <v>11709.097173291</v>
      </c>
      <c r="AT86" s="97">
        <f t="shared" si="106"/>
        <v>0.36781288706795268</v>
      </c>
      <c r="AU86" s="97">
        <f t="shared" si="107"/>
        <v>0.20963958520733428</v>
      </c>
      <c r="AV86" s="98">
        <f t="shared" si="65"/>
        <v>0.20963958520733428</v>
      </c>
      <c r="AW86" s="4">
        <v>979.52930761800008</v>
      </c>
      <c r="AX86" s="4">
        <f>SUMIFS($AW$3:$AW86,$D$3:$D86,D86)</f>
        <v>6019.5099103110006</v>
      </c>
      <c r="AY86" s="4">
        <f t="shared" si="97"/>
        <v>6019.5099103110006</v>
      </c>
      <c r="AZ86" s="97">
        <f t="shared" si="108"/>
        <v>0.2436872654182658</v>
      </c>
      <c r="BA86" s="97">
        <f t="shared" si="109"/>
        <v>0.1527848930507536</v>
      </c>
      <c r="BB86" s="97">
        <f t="shared" si="58"/>
        <v>0.1527848930507536</v>
      </c>
      <c r="BC86" s="4">
        <v>355.62876081399997</v>
      </c>
      <c r="BD86" s="4">
        <f t="shared" si="88"/>
        <v>623.9005468040001</v>
      </c>
      <c r="BE86" s="4">
        <v>230.24310652999998</v>
      </c>
      <c r="BF86" s="4">
        <v>75.695110802000002</v>
      </c>
      <c r="BG86" s="4">
        <f t="shared" si="76"/>
        <v>10.886490455176737</v>
      </c>
      <c r="BH86" s="4">
        <f>Datos1[[#This Row],[Intereses]]/Datos1[[#This Row],[PIB nominal (miles de millones de G.)]]*100</f>
        <v>6.8217047219472637E-2</v>
      </c>
      <c r="BI86" s="4">
        <v>366.07967651399997</v>
      </c>
      <c r="BJ86" s="4">
        <v>220.07737859</v>
      </c>
      <c r="BK86" s="4">
        <v>115.07214641899999</v>
      </c>
      <c r="BL86" s="56">
        <f t="shared" si="77"/>
        <v>-552.67914441400012</v>
      </c>
      <c r="BM86" s="56">
        <f>SUMIFS($BL$3:$BL86,$D$3:$D86,D86)</f>
        <v>2168.8352420759993</v>
      </c>
      <c r="BN86" s="56">
        <f t="shared" si="90"/>
        <v>2168.8352420759993</v>
      </c>
      <c r="BO86" s="100">
        <f t="shared" si="110"/>
        <v>0.84645396709379717</v>
      </c>
      <c r="BP86" s="100">
        <f t="shared" si="111"/>
        <v>-0.28640061165758401</v>
      </c>
      <c r="BQ86" s="100">
        <f t="shared" si="53"/>
        <v>-0.28640061165758401</v>
      </c>
      <c r="BR86" s="2">
        <f t="shared" si="78"/>
        <v>-0.49807892335777426</v>
      </c>
      <c r="BS86" s="2">
        <f>+Datos1[[#This Row],[RON acumulado 12 meses]]/Datos1[[#This Row],[PIB nominal (miles de millones de G.)]]*100</f>
        <v>1.9545718944379387</v>
      </c>
      <c r="BT86" s="56">
        <v>484.29171089399995</v>
      </c>
      <c r="BU86" s="56">
        <f>SUMIFS($BT$3:$BT86,$D$3:$D86,D86)</f>
        <v>2075.0197423069999</v>
      </c>
      <c r="BV86" s="56">
        <f t="shared" si="98"/>
        <v>2075.0197423069999</v>
      </c>
      <c r="BW86" s="100">
        <f t="shared" si="112"/>
        <v>0.70892237903226185</v>
      </c>
      <c r="BX86" s="100">
        <f t="shared" si="113"/>
        <v>0.66407162552623356</v>
      </c>
      <c r="BY86" s="100">
        <f t="shared" si="54"/>
        <v>0.66407162552623356</v>
      </c>
      <c r="BZ86" s="56">
        <f t="shared" si="79"/>
        <v>69.650959385734069</v>
      </c>
      <c r="CA86" s="56">
        <f>Datos1[[#This Row],[Adquisición Neta de Activos no Financieros]]/Datos1[[#This Row],[PIB nominal (miles de millones de G.)]]*100</f>
        <v>0.43644761411964661</v>
      </c>
      <c r="CB86" s="56">
        <f>+Datos1[[#This Row],[ANANF acumulado por año]]/Datos1[[#This Row],[PIB nominal (miles de millones de G.)]]*100</f>
        <v>1.8700246058501642</v>
      </c>
      <c r="CC86" s="56">
        <f>+Datos1[[#This Row],[ANANF acumulado 12 meses]]/Datos1[[#This Row],[PIB nominal (miles de millones de G.)]]*100</f>
        <v>1.8700246058501642</v>
      </c>
      <c r="CD86" s="4">
        <v>112.929128401</v>
      </c>
      <c r="CE86" s="4">
        <f t="shared" si="80"/>
        <v>16.241496517056838</v>
      </c>
      <c r="CF86" s="4">
        <f t="shared" si="81"/>
        <v>371.36258249299993</v>
      </c>
      <c r="CG86" s="4">
        <f t="shared" si="82"/>
        <v>53.409462868677217</v>
      </c>
      <c r="CH86" s="56">
        <f t="shared" si="83"/>
        <v>-1036.970855308</v>
      </c>
      <c r="CI86" s="56">
        <f>SUMIFS($CH$3:$CH86,$D$3:$D86,D86)</f>
        <v>93.815499768999871</v>
      </c>
      <c r="CJ86" s="56">
        <f t="shared" si="91"/>
        <v>93.815499768999871</v>
      </c>
      <c r="CK86" s="56">
        <f>Datos1[[#This Row],[Resultado Fiscal (miles de millones de G.)]]*1000/$F$207</f>
        <v>-149.13741718584978</v>
      </c>
      <c r="CL86" s="56">
        <f t="shared" si="99"/>
        <v>13.492569493086279</v>
      </c>
      <c r="CM86" s="100">
        <f t="shared" si="114"/>
        <v>0.77956797285858004</v>
      </c>
      <c r="CN86" s="100">
        <f t="shared" si="115"/>
        <v>-0.94765742289958788</v>
      </c>
      <c r="CO86" s="100">
        <f t="shared" si="55"/>
        <v>-0.94765742289958788</v>
      </c>
      <c r="CP86" s="4">
        <f t="shared" si="84"/>
        <v>-0.93452653747742065</v>
      </c>
      <c r="CQ86" s="4">
        <f t="shared" si="92"/>
        <v>8.4547288587774869E-2</v>
      </c>
      <c r="CR86" s="73">
        <v>1007.161511192</v>
      </c>
      <c r="CS86" s="113">
        <f>SUM(Datos1[[#This Row],[FFPP]:[MTESS]])</f>
        <v>0</v>
      </c>
      <c r="CT86" s="113"/>
      <c r="CU86" s="113"/>
      <c r="CV86" s="113"/>
      <c r="CW86" s="113"/>
      <c r="CX86" s="113"/>
      <c r="CY86" s="113"/>
      <c r="CZ86" s="113"/>
    </row>
    <row r="87" spans="1:104">
      <c r="A87">
        <v>85</v>
      </c>
      <c r="B87" s="76">
        <v>40179</v>
      </c>
      <c r="C87" s="14" t="str">
        <f t="shared" si="66"/>
        <v>Enero</v>
      </c>
      <c r="D87" s="14">
        <f t="shared" si="85"/>
        <v>2010</v>
      </c>
      <c r="E87" s="15">
        <f t="shared" si="67"/>
        <v>128989.49538850183</v>
      </c>
      <c r="F87" s="15">
        <f t="shared" si="68"/>
        <v>4739.4784449855697</v>
      </c>
      <c r="G87" s="56">
        <v>1022.5046873049999</v>
      </c>
      <c r="H87" s="4">
        <f t="shared" si="86"/>
        <v>0.79270384322795517</v>
      </c>
      <c r="I87" s="4">
        <f>SUMIFS($G$3:$G87,$D$3:$D87,D87)</f>
        <v>1022.5046873049999</v>
      </c>
      <c r="J87" s="2">
        <f t="shared" si="93"/>
        <v>13959.711241392997</v>
      </c>
      <c r="K87" s="95">
        <f t="shared" si="100"/>
        <v>8.6931623113682077E-2</v>
      </c>
      <c r="L87" s="95">
        <f t="shared" si="101"/>
        <v>8.6931623113682077E-2</v>
      </c>
      <c r="M87" s="95">
        <f t="shared" si="50"/>
        <v>0.10568268204913656</v>
      </c>
      <c r="N87" s="4">
        <v>744.69009540799993</v>
      </c>
      <c r="O87" s="4">
        <f t="shared" si="69"/>
        <v>0.57732615602927762</v>
      </c>
      <c r="P87" s="4">
        <f>SUMIFS($N$3:$N87,$D$3:$D87,D87)</f>
        <v>744.69009540799993</v>
      </c>
      <c r="Q87" s="4">
        <f t="shared" si="89"/>
        <v>9349.6328308539996</v>
      </c>
      <c r="R87" s="97">
        <f t="shared" si="102"/>
        <v>0.23727074178347429</v>
      </c>
      <c r="S87" s="97">
        <f t="shared" si="103"/>
        <v>0.23727074178347429</v>
      </c>
      <c r="T87" s="97">
        <f t="shared" si="51"/>
        <v>8.3962415225991016E-2</v>
      </c>
      <c r="U87" s="4">
        <v>394.29009103200002</v>
      </c>
      <c r="V87" s="4">
        <f t="shared" si="94"/>
        <v>4846.0386239530008</v>
      </c>
      <c r="W87" s="97">
        <f t="shared" si="56"/>
        <v>0.25634942323332677</v>
      </c>
      <c r="X87" s="97">
        <f t="shared" si="104"/>
        <v>0.26382778250690975</v>
      </c>
      <c r="Y87" s="4">
        <v>376.54797188299995</v>
      </c>
      <c r="Z87" s="4">
        <f t="shared" si="95"/>
        <v>4421.6402864816664</v>
      </c>
      <c r="AA87" s="97">
        <f t="shared" si="57"/>
        <v>-4.9135112684964399E-2</v>
      </c>
      <c r="AB87" s="97">
        <f t="shared" si="105"/>
        <v>0.13912131090531998</v>
      </c>
      <c r="AC87" s="4">
        <v>11.945973147999998</v>
      </c>
      <c r="AD87" s="4">
        <f t="shared" si="70"/>
        <v>9.261198450323473E-3</v>
      </c>
      <c r="AE87" s="4">
        <v>7.0728588980000007</v>
      </c>
      <c r="AF87" s="4">
        <f t="shared" si="71"/>
        <v>5.4832828647769696E-3</v>
      </c>
      <c r="AG87" s="4">
        <v>258.79575985099996</v>
      </c>
      <c r="AH87" s="4">
        <f t="shared" si="72"/>
        <v>54.604269827370828</v>
      </c>
      <c r="AI87" s="4">
        <v>134.62718101999999</v>
      </c>
      <c r="AJ87" s="4">
        <f t="shared" si="73"/>
        <v>19.362116068701972</v>
      </c>
      <c r="AK87" s="101">
        <f>SUMIFS($AJ$3:$AJ87,$D$3:$D87,D87)</f>
        <v>19.362116068701972</v>
      </c>
      <c r="AL87" s="4">
        <v>0</v>
      </c>
      <c r="AM87" s="4">
        <f t="shared" si="74"/>
        <v>0</v>
      </c>
      <c r="AN87" s="101">
        <f>SUMIFS($AM$3:$AM87,$D$3:$D87,D87)</f>
        <v>0</v>
      </c>
      <c r="AO87" s="4">
        <f t="shared" si="87"/>
        <v>124.16857883099996</v>
      </c>
      <c r="AP87" s="56">
        <v>690.51319839999996</v>
      </c>
      <c r="AQ87" s="4">
        <f t="shared" si="75"/>
        <v>0.53532514126072983</v>
      </c>
      <c r="AR87" s="4">
        <f>SUMIFS($AP$3:$AP87,$D$3:$D87,D87)</f>
        <v>690.51319839999996</v>
      </c>
      <c r="AS87" s="4">
        <f t="shared" si="96"/>
        <v>11754.827660397998</v>
      </c>
      <c r="AT87" s="97">
        <f t="shared" si="106"/>
        <v>7.0923872966902834E-2</v>
      </c>
      <c r="AU87" s="97">
        <f t="shared" si="107"/>
        <v>7.0923872966902834E-2</v>
      </c>
      <c r="AV87" s="98">
        <f t="shared" si="65"/>
        <v>0.21015800533777851</v>
      </c>
      <c r="AW87" s="4">
        <v>470.73840896199999</v>
      </c>
      <c r="AX87" s="4">
        <f>SUMIFS($AW$3:$AW87,$D$3:$D87,D87)</f>
        <v>470.73840896199999</v>
      </c>
      <c r="AY87" s="4">
        <f t="shared" si="97"/>
        <v>6073.4274287329999</v>
      </c>
      <c r="AZ87" s="97">
        <f t="shared" si="108"/>
        <v>0.12935416541178824</v>
      </c>
      <c r="BA87" s="97">
        <f t="shared" si="109"/>
        <v>0.12935416541178824</v>
      </c>
      <c r="BB87" s="97">
        <f t="shared" si="58"/>
        <v>0.15516291523749803</v>
      </c>
      <c r="BC87" s="4">
        <v>356.49268921800001</v>
      </c>
      <c r="BD87" s="4">
        <f t="shared" si="88"/>
        <v>114.24571974399998</v>
      </c>
      <c r="BE87" s="4">
        <v>28.39409624</v>
      </c>
      <c r="BF87" s="4">
        <v>4.3521372180000002</v>
      </c>
      <c r="BG87" s="4">
        <f t="shared" si="76"/>
        <v>0.62592550273570091</v>
      </c>
      <c r="BH87" s="4">
        <f>Datos1[[#This Row],[Intereses]]/Datos1[[#This Row],[PIB nominal (miles de millones de G.)]]*100</f>
        <v>3.3740245319138999E-3</v>
      </c>
      <c r="BI87" s="4">
        <v>45.020723035000003</v>
      </c>
      <c r="BJ87" s="4">
        <v>138.67984235500001</v>
      </c>
      <c r="BK87" s="4">
        <v>3.3279905899999997</v>
      </c>
      <c r="BL87" s="56">
        <f t="shared" si="77"/>
        <v>331.99148890499998</v>
      </c>
      <c r="BM87" s="56">
        <f>SUMIFS($BL$3:$BL87,$D$3:$D87,D87)</f>
        <v>331.99148890499998</v>
      </c>
      <c r="BN87" s="56">
        <f t="shared" si="90"/>
        <v>2204.8835809949996</v>
      </c>
      <c r="BO87" s="100">
        <f t="shared" si="110"/>
        <v>0.12180832339152081</v>
      </c>
      <c r="BP87" s="100">
        <f t="shared" si="111"/>
        <v>0.12180832339152081</v>
      </c>
      <c r="BQ87" s="100">
        <f t="shared" si="53"/>
        <v>-0.24281739401971514</v>
      </c>
      <c r="BR87" s="2">
        <f t="shared" si="78"/>
        <v>0.25737870196722529</v>
      </c>
      <c r="BS87" s="2">
        <f>+Datos1[[#This Row],[RON acumulado 12 meses]]/Datos1[[#This Row],[PIB nominal (miles de millones de G.)]]*100</f>
        <v>1.7093512726397901</v>
      </c>
      <c r="BT87" s="56">
        <v>26.404467097999998</v>
      </c>
      <c r="BU87" s="56">
        <f>SUMIFS($BT$3:$BT87,$D$3:$D87,D87)</f>
        <v>26.404467097999998</v>
      </c>
      <c r="BV87" s="56">
        <f t="shared" si="98"/>
        <v>2098.99080417</v>
      </c>
      <c r="BW87" s="100">
        <f t="shared" si="112"/>
        <v>9.8508302350224888</v>
      </c>
      <c r="BX87" s="100">
        <f t="shared" si="113"/>
        <v>9.8508302350224888</v>
      </c>
      <c r="BY87" s="100">
        <f t="shared" si="54"/>
        <v>0.71156691194997856</v>
      </c>
      <c r="BZ87" s="56">
        <f t="shared" si="79"/>
        <v>3.7974973018839964</v>
      </c>
      <c r="CA87" s="56">
        <f>Datos1[[#This Row],[Adquisición Neta de Activos no Financieros]]/Datos1[[#This Row],[PIB nominal (miles de millones de G.)]]*100</f>
        <v>2.0470246060326634E-2</v>
      </c>
      <c r="CB87" s="56">
        <f>+Datos1[[#This Row],[ANANF acumulado por año]]/Datos1[[#This Row],[PIB nominal (miles de millones de G.)]]*100</f>
        <v>2.0470246060326634E-2</v>
      </c>
      <c r="CC87" s="56">
        <f>+Datos1[[#This Row],[ANANF acumulado 12 meses]]/Datos1[[#This Row],[PIB nominal (miles de millones de G.)]]*100</f>
        <v>1.6272571637311055</v>
      </c>
      <c r="CD87" s="4">
        <v>17.553025422999998</v>
      </c>
      <c r="CE87" s="4">
        <f t="shared" si="80"/>
        <v>2.5244806659549157</v>
      </c>
      <c r="CF87" s="4">
        <f t="shared" si="81"/>
        <v>8.8514416750000002</v>
      </c>
      <c r="CG87" s="4">
        <f t="shared" si="82"/>
        <v>1.2730166359290811</v>
      </c>
      <c r="CH87" s="56">
        <f t="shared" si="83"/>
        <v>305.58702180699999</v>
      </c>
      <c r="CI87" s="56">
        <f>SUMIFS($CH$3:$CH87,$D$3:$D87,D87)</f>
        <v>305.58702180699999</v>
      </c>
      <c r="CJ87" s="56">
        <f t="shared" si="91"/>
        <v>105.89277682500011</v>
      </c>
      <c r="CK87" s="56">
        <f>Datos1[[#This Row],[Resultado Fiscal (miles de millones de G.)]]*1000/$F$207</f>
        <v>43.949604682260286</v>
      </c>
      <c r="CL87" s="56">
        <f t="shared" si="99"/>
        <v>15.22952660962433</v>
      </c>
      <c r="CM87" s="100">
        <f t="shared" si="114"/>
        <v>4.114778903251004E-2</v>
      </c>
      <c r="CN87" s="100">
        <f t="shared" si="115"/>
        <v>4.114778903251004E-2</v>
      </c>
      <c r="CO87" s="100">
        <f t="shared" si="55"/>
        <v>-0.93717803859481674</v>
      </c>
      <c r="CP87" s="4">
        <f t="shared" si="84"/>
        <v>0.23690845590689869</v>
      </c>
      <c r="CQ87" s="4">
        <f t="shared" si="92"/>
        <v>8.2094108908685154E-2</v>
      </c>
      <c r="CR87" s="73">
        <v>505.51961644900001</v>
      </c>
      <c r="CS87" s="113">
        <f>SUM(Datos1[[#This Row],[FFPP]:[MTESS]])</f>
        <v>0</v>
      </c>
      <c r="CT87" s="113"/>
      <c r="CU87" s="113"/>
      <c r="CV87" s="113"/>
      <c r="CW87" s="113"/>
      <c r="CX87" s="113"/>
      <c r="CY87" s="113"/>
      <c r="CZ87" s="113"/>
    </row>
    <row r="88" spans="1:104">
      <c r="A88">
        <v>86</v>
      </c>
      <c r="B88" s="3">
        <v>40210</v>
      </c>
      <c r="C88" s="14" t="str">
        <f t="shared" si="66"/>
        <v>Febrero</v>
      </c>
      <c r="D88" s="14">
        <f t="shared" si="85"/>
        <v>2010</v>
      </c>
      <c r="E88" s="15">
        <f t="shared" si="67"/>
        <v>128989.49538850183</v>
      </c>
      <c r="F88" s="15">
        <f t="shared" si="68"/>
        <v>4739.4784449855697</v>
      </c>
      <c r="G88" s="56">
        <v>1140.62903729</v>
      </c>
      <c r="H88" s="4">
        <f t="shared" si="86"/>
        <v>0.88428056397503829</v>
      </c>
      <c r="I88" s="4">
        <f>SUMIFS($G$3:$G88,$D$3:$D88,D88)</f>
        <v>2163.1337245949999</v>
      </c>
      <c r="J88" s="2">
        <f t="shared" si="93"/>
        <v>14163.894842818998</v>
      </c>
      <c r="K88" s="95">
        <f t="shared" si="100"/>
        <v>0.15233688469838969</v>
      </c>
      <c r="L88" s="95">
        <f t="shared" si="101"/>
        <v>0.21804110907712682</v>
      </c>
      <c r="M88" s="95">
        <f t="shared" si="50"/>
        <v>0.12883047947533921</v>
      </c>
      <c r="N88" s="4">
        <v>766.95696353599999</v>
      </c>
      <c r="O88" s="4">
        <f t="shared" si="69"/>
        <v>0.59458869982087459</v>
      </c>
      <c r="P88" s="4">
        <f>SUMIFS($N$3:$N88,$D$3:$D88,D88)</f>
        <v>1511.647058944</v>
      </c>
      <c r="Q88" s="4">
        <f t="shared" si="89"/>
        <v>9516.285128124</v>
      </c>
      <c r="R88" s="97">
        <f t="shared" si="102"/>
        <v>0.27761286332589474</v>
      </c>
      <c r="S88" s="97">
        <f t="shared" si="103"/>
        <v>0.25741534913201414</v>
      </c>
      <c r="T88" s="97">
        <f t="shared" si="51"/>
        <v>0.11344311104622884</v>
      </c>
      <c r="U88" s="4">
        <v>303.68403959099999</v>
      </c>
      <c r="V88" s="4">
        <f t="shared" si="94"/>
        <v>4903.0297082310017</v>
      </c>
      <c r="W88" s="97">
        <f t="shared" si="56"/>
        <v>0.25825392078224674</v>
      </c>
      <c r="X88" s="97">
        <f t="shared" si="104"/>
        <v>0.23102031513502497</v>
      </c>
      <c r="Y88" s="4">
        <v>440.80031487500003</v>
      </c>
      <c r="Z88" s="4">
        <f t="shared" si="95"/>
        <v>4527.2168380193334</v>
      </c>
      <c r="AA88" s="97">
        <f t="shared" si="57"/>
        <v>-1.7838905929175586E-2</v>
      </c>
      <c r="AB88" s="97">
        <f t="shared" si="105"/>
        <v>0.31494351858172354</v>
      </c>
      <c r="AC88" s="4">
        <v>93.895250098000005</v>
      </c>
      <c r="AD88" s="4">
        <f t="shared" si="70"/>
        <v>7.279294318905434E-2</v>
      </c>
      <c r="AE88" s="4">
        <v>26.120502226999999</v>
      </c>
      <c r="AF88" s="4">
        <f t="shared" si="71"/>
        <v>2.0250100326641318E-2</v>
      </c>
      <c r="AG88" s="4">
        <v>253.65632142899997</v>
      </c>
      <c r="AH88" s="4">
        <f t="shared" si="72"/>
        <v>53.519880799831824</v>
      </c>
      <c r="AI88" s="4">
        <v>127.39420744300001</v>
      </c>
      <c r="AJ88" s="4">
        <f t="shared" si="73"/>
        <v>18.321867934122647</v>
      </c>
      <c r="AK88" s="101">
        <f>SUMIFS($AJ$3:$AJ88,$D$3:$D88,D88)</f>
        <v>37.683984002824616</v>
      </c>
      <c r="AL88" s="4">
        <v>0</v>
      </c>
      <c r="AM88" s="4">
        <f t="shared" si="74"/>
        <v>0</v>
      </c>
      <c r="AN88" s="101">
        <f>SUMIFS($AM$3:$AM88,$D$3:$D88,D88)</f>
        <v>0</v>
      </c>
      <c r="AO88" s="4">
        <f t="shared" si="87"/>
        <v>126.26211398599996</v>
      </c>
      <c r="AP88" s="56">
        <v>823.26688017400011</v>
      </c>
      <c r="AQ88" s="4">
        <f t="shared" si="75"/>
        <v>0.63824335283614608</v>
      </c>
      <c r="AR88" s="4">
        <f>SUMIFS($AP$3:$AP88,$D$3:$D88,D88)</f>
        <v>1513.7800785740001</v>
      </c>
      <c r="AS88" s="4">
        <f t="shared" si="96"/>
        <v>11831.89194003</v>
      </c>
      <c r="AT88" s="97">
        <f t="shared" si="106"/>
        <v>0.10327527614621679</v>
      </c>
      <c r="AU88" s="97">
        <f t="shared" si="107"/>
        <v>8.8278981592557537E-2</v>
      </c>
      <c r="AV88" s="98">
        <f t="shared" si="65"/>
        <v>0.21038238410676247</v>
      </c>
      <c r="AW88" s="4">
        <v>519.31769039900007</v>
      </c>
      <c r="AX88" s="4">
        <f>SUMIFS($AW$3:$AW88,$D$3:$D88,D88)</f>
        <v>990.05609936100007</v>
      </c>
      <c r="AY88" s="4">
        <f t="shared" si="97"/>
        <v>6150.6329660669999</v>
      </c>
      <c r="AZ88" s="97">
        <f t="shared" si="108"/>
        <v>0.17462885107039616</v>
      </c>
      <c r="BA88" s="97">
        <f t="shared" si="109"/>
        <v>0.15265806424871919</v>
      </c>
      <c r="BB88" s="97">
        <f t="shared" si="58"/>
        <v>0.16110250465758247</v>
      </c>
      <c r="BC88" s="4">
        <v>361.47804531600002</v>
      </c>
      <c r="BD88" s="4">
        <f t="shared" si="88"/>
        <v>157.83964508300005</v>
      </c>
      <c r="BE88" s="4">
        <v>34.717312288999999</v>
      </c>
      <c r="BF88" s="4">
        <v>18.946155934</v>
      </c>
      <c r="BG88" s="4">
        <f t="shared" si="76"/>
        <v>2.7248410571364325</v>
      </c>
      <c r="BH88" s="4">
        <f>Datos1[[#This Row],[Intereses]]/Datos1[[#This Row],[PIB nominal (miles de millones de G.)]]*100</f>
        <v>1.4688138655738061E-2</v>
      </c>
      <c r="BI88" s="4">
        <v>112.04403393500002</v>
      </c>
      <c r="BJ88" s="4">
        <v>128.33728794999999</v>
      </c>
      <c r="BK88" s="4">
        <v>9.9043996669999999</v>
      </c>
      <c r="BL88" s="56">
        <f t="shared" si="77"/>
        <v>317.36215711599993</v>
      </c>
      <c r="BM88" s="56">
        <f>SUMIFS($BL$3:$BL88,$D$3:$D88,D88)</f>
        <v>649.35364602099992</v>
      </c>
      <c r="BN88" s="56">
        <f t="shared" si="90"/>
        <v>2332.0029027889996</v>
      </c>
      <c r="BO88" s="100">
        <f t="shared" si="110"/>
        <v>0.66819505490885422</v>
      </c>
      <c r="BP88" s="100">
        <f t="shared" si="111"/>
        <v>0.33560749516387811</v>
      </c>
      <c r="BQ88" s="100">
        <f t="shared" si="53"/>
        <v>-0.15875113290652443</v>
      </c>
      <c r="BR88" s="2">
        <f t="shared" si="78"/>
        <v>0.24603721113889226</v>
      </c>
      <c r="BS88" s="2">
        <f>+Datos1[[#This Row],[RON acumulado 12 meses]]/Datos1[[#This Row],[PIB nominal (miles de millones de G.)]]*100</f>
        <v>1.8079014076032078</v>
      </c>
      <c r="BT88" s="56">
        <v>160.07253134299998</v>
      </c>
      <c r="BU88" s="56">
        <f>SUMIFS($BT$3:$BT88,$D$3:$D88,D88)</f>
        <v>186.47699844099998</v>
      </c>
      <c r="BV88" s="56">
        <f t="shared" si="98"/>
        <v>2219.7014440759999</v>
      </c>
      <c r="BW88" s="100">
        <f t="shared" si="112"/>
        <v>3.0666879943816046</v>
      </c>
      <c r="BX88" s="100">
        <f t="shared" si="113"/>
        <v>3.4616742382385546</v>
      </c>
      <c r="BY88" s="100">
        <f t="shared" si="54"/>
        <v>0.79812687713991504</v>
      </c>
      <c r="BZ88" s="56">
        <f t="shared" si="79"/>
        <v>23.02167294740924</v>
      </c>
      <c r="CA88" s="56">
        <f>Datos1[[#This Row],[Adquisición Neta de Activos no Financieros]]/Datos1[[#This Row],[PIB nominal (miles de millones de G.)]]*100</f>
        <v>0.12409733898165858</v>
      </c>
      <c r="CB88" s="56">
        <f>+Datos1[[#This Row],[ANANF acumulado por año]]/Datos1[[#This Row],[PIB nominal (miles de millones de G.)]]*100</f>
        <v>0.14456758504198522</v>
      </c>
      <c r="CC88" s="56">
        <f>+Datos1[[#This Row],[ANANF acumulado 12 meses]]/Datos1[[#This Row],[PIB nominal (miles de millones de G.)]]*100</f>
        <v>1.7208389236584802</v>
      </c>
      <c r="CD88" s="4">
        <v>91.158531441999997</v>
      </c>
      <c r="CE88" s="4">
        <f t="shared" si="80"/>
        <v>13.110443619629928</v>
      </c>
      <c r="CF88" s="4">
        <f t="shared" si="81"/>
        <v>68.913999900999983</v>
      </c>
      <c r="CG88" s="4">
        <f t="shared" si="82"/>
        <v>9.91122932777931</v>
      </c>
      <c r="CH88" s="56">
        <f t="shared" si="83"/>
        <v>157.28962577299995</v>
      </c>
      <c r="CI88" s="56">
        <f>SUMIFS($CH$3:$CH88,$D$3:$D88,D88)</f>
        <v>462.87664757999994</v>
      </c>
      <c r="CJ88" s="56">
        <f t="shared" si="91"/>
        <v>112.30145871299999</v>
      </c>
      <c r="CK88" s="56">
        <f>Datos1[[#This Row],[Resultado Fiscal (miles de millones de G.)]]*1000/$F$207</f>
        <v>22.621434747022548</v>
      </c>
      <c r="CL88" s="56">
        <f t="shared" si="99"/>
        <v>16.151224899841139</v>
      </c>
      <c r="CM88" s="100">
        <f t="shared" si="114"/>
        <v>4.2475091439543089E-2</v>
      </c>
      <c r="CN88" s="100">
        <f t="shared" si="115"/>
        <v>4.159843897886395E-2</v>
      </c>
      <c r="CO88" s="100">
        <f t="shared" si="55"/>
        <v>-0.92696412463857902</v>
      </c>
      <c r="CP88" s="4">
        <f t="shared" si="84"/>
        <v>0.12193987215723366</v>
      </c>
      <c r="CQ88" s="4">
        <f t="shared" si="92"/>
        <v>8.7062483944727931E-2</v>
      </c>
      <c r="CR88" s="73">
        <v>563.17851294100001</v>
      </c>
      <c r="CS88" s="113">
        <f>SUM(Datos1[[#This Row],[FFPP]:[MTESS]])</f>
        <v>0</v>
      </c>
      <c r="CT88" s="113"/>
      <c r="CU88" s="113"/>
      <c r="CV88" s="113"/>
      <c r="CW88" s="113"/>
      <c r="CX88" s="113"/>
      <c r="CY88" s="113"/>
      <c r="CZ88" s="113"/>
    </row>
    <row r="89" spans="1:104">
      <c r="A89">
        <v>87</v>
      </c>
      <c r="B89" s="3">
        <v>40238</v>
      </c>
      <c r="C89" s="14" t="str">
        <f t="shared" si="66"/>
        <v>Marzo</v>
      </c>
      <c r="D89" s="14">
        <f t="shared" si="85"/>
        <v>2010</v>
      </c>
      <c r="E89" s="15">
        <f t="shared" si="67"/>
        <v>128989.49538850183</v>
      </c>
      <c r="F89" s="15">
        <f t="shared" si="68"/>
        <v>4739.4784449855697</v>
      </c>
      <c r="G89" s="56">
        <v>1091.1580805890001</v>
      </c>
      <c r="H89" s="4">
        <f t="shared" si="86"/>
        <v>0.84592786203446635</v>
      </c>
      <c r="I89" s="4">
        <f>SUMIFS($G$3:$G89,$D$3:$D89,D89)</f>
        <v>3254.2918051839997</v>
      </c>
      <c r="J89" s="2">
        <f t="shared" si="93"/>
        <v>14269.590819175999</v>
      </c>
      <c r="K89" s="95">
        <f t="shared" si="100"/>
        <v>0.13681752040651629</v>
      </c>
      <c r="L89" s="95">
        <f t="shared" si="101"/>
        <v>0.10725524188408242</v>
      </c>
      <c r="M89" s="95">
        <f t="shared" si="50"/>
        <v>0.13793223412334155</v>
      </c>
      <c r="N89" s="4">
        <v>737.63733482300006</v>
      </c>
      <c r="O89" s="4">
        <f t="shared" si="69"/>
        <v>0.57185845452090456</v>
      </c>
      <c r="P89" s="4">
        <f>SUMIFS($N$3:$N89,$D$3:$D89,D89)</f>
        <v>2249.284393767</v>
      </c>
      <c r="Q89" s="4">
        <f t="shared" si="89"/>
        <v>9636.3384681010011</v>
      </c>
      <c r="R89" s="97">
        <f t="shared" si="102"/>
        <v>0.19439192236019043</v>
      </c>
      <c r="S89" s="97">
        <f t="shared" si="103"/>
        <v>0.23602678850346814</v>
      </c>
      <c r="T89" s="97">
        <f t="shared" si="51"/>
        <v>0.11994120705369671</v>
      </c>
      <c r="U89" s="4">
        <v>323.9167264059999</v>
      </c>
      <c r="V89" s="4">
        <f t="shared" si="94"/>
        <v>4995.5643564000011</v>
      </c>
      <c r="W89" s="97">
        <f t="shared" si="56"/>
        <v>0.27820646330922028</v>
      </c>
      <c r="X89" s="97">
        <f t="shared" si="104"/>
        <v>0.39992141515047885</v>
      </c>
      <c r="Y89" s="4">
        <v>441.22107509</v>
      </c>
      <c r="Z89" s="4">
        <f t="shared" si="95"/>
        <v>4628.9812373930008</v>
      </c>
      <c r="AA89" s="97">
        <f t="shared" si="57"/>
        <v>1.3257450485431033E-3</v>
      </c>
      <c r="AB89" s="97">
        <f t="shared" si="105"/>
        <v>0.29978611897650831</v>
      </c>
      <c r="AC89" s="4">
        <v>94.581300210999999</v>
      </c>
      <c r="AD89" s="4">
        <f t="shared" si="70"/>
        <v>7.3324808292436344E-2</v>
      </c>
      <c r="AE89" s="4">
        <v>85.052168069999993</v>
      </c>
      <c r="AF89" s="4">
        <f t="shared" si="71"/>
        <v>6.5937282577804068E-2</v>
      </c>
      <c r="AG89" s="4">
        <v>173.887277485</v>
      </c>
      <c r="AH89" s="4">
        <f t="shared" si="72"/>
        <v>36.689116640877437</v>
      </c>
      <c r="AI89" s="4">
        <v>113.415044904</v>
      </c>
      <c r="AJ89" s="4">
        <f t="shared" si="73"/>
        <v>16.311381154464392</v>
      </c>
      <c r="AK89" s="101">
        <f>SUMIFS($AJ$3:$AJ89,$D$3:$D89,D89)</f>
        <v>53.995365157289008</v>
      </c>
      <c r="AL89" s="4">
        <v>0</v>
      </c>
      <c r="AM89" s="4">
        <f t="shared" si="74"/>
        <v>0</v>
      </c>
      <c r="AN89" s="101">
        <f>SUMIFS($AM$3:$AM89,$D$3:$D89,D89)</f>
        <v>0</v>
      </c>
      <c r="AO89" s="4">
        <f t="shared" si="87"/>
        <v>60.472232581</v>
      </c>
      <c r="AP89" s="56">
        <v>947.86995608400002</v>
      </c>
      <c r="AQ89" s="4">
        <f t="shared" si="75"/>
        <v>0.73484275074425442</v>
      </c>
      <c r="AR89" s="4">
        <f>SUMIFS($AP$3:$AP89,$D$3:$D89,D89)</f>
        <v>2461.6500346580001</v>
      </c>
      <c r="AS89" s="4">
        <f t="shared" si="96"/>
        <v>11868.471473524</v>
      </c>
      <c r="AT89" s="97">
        <f t="shared" si="106"/>
        <v>4.0140368632467727E-2</v>
      </c>
      <c r="AU89" s="97">
        <f t="shared" si="107"/>
        <v>6.922467967235213E-2</v>
      </c>
      <c r="AV89" s="98">
        <f t="shared" si="65"/>
        <v>0.20629176187451748</v>
      </c>
      <c r="AW89" s="4">
        <v>521.03197209100006</v>
      </c>
      <c r="AX89" s="4">
        <f>SUMIFS($AW$3:$AW89,$D$3:$D89,D89)</f>
        <v>1511.0880714520001</v>
      </c>
      <c r="AY89" s="4">
        <f t="shared" si="97"/>
        <v>6228.6524874459992</v>
      </c>
      <c r="AZ89" s="97">
        <f t="shared" si="108"/>
        <v>0.17611135139341738</v>
      </c>
      <c r="BA89" s="97">
        <f t="shared" si="109"/>
        <v>0.16063850449032535</v>
      </c>
      <c r="BB89" s="97">
        <f t="shared" si="58"/>
        <v>0.16731597533643194</v>
      </c>
      <c r="BC89" s="4">
        <v>362.40031428100002</v>
      </c>
      <c r="BD89" s="4">
        <f t="shared" si="88"/>
        <v>158.63165781000004</v>
      </c>
      <c r="BE89" s="4">
        <v>77.888768764000005</v>
      </c>
      <c r="BF89" s="4">
        <v>54.889295213999993</v>
      </c>
      <c r="BG89" s="4">
        <f t="shared" si="76"/>
        <v>7.8941926645914977</v>
      </c>
      <c r="BH89" s="4">
        <f>Datos1[[#This Row],[Intereses]]/Datos1[[#This Row],[PIB nominal (miles de millones de G.)]]*100</f>
        <v>4.2553306413580128E-2</v>
      </c>
      <c r="BI89" s="4">
        <v>110.31340942899999</v>
      </c>
      <c r="BJ89" s="4">
        <v>127.788107091</v>
      </c>
      <c r="BK89" s="4">
        <v>55.958403494999999</v>
      </c>
      <c r="BL89" s="56">
        <f t="shared" si="77"/>
        <v>143.28812450500004</v>
      </c>
      <c r="BM89" s="56">
        <f>SUMIFS($BL$3:$BL89,$D$3:$D89,D89)</f>
        <v>792.64177052599996</v>
      </c>
      <c r="BN89" s="56">
        <f t="shared" si="90"/>
        <v>2401.1193456519995</v>
      </c>
      <c r="BO89" s="100">
        <f t="shared" si="110"/>
        <v>0.93184408567949273</v>
      </c>
      <c r="BP89" s="100">
        <f t="shared" si="111"/>
        <v>0.41452828662149144</v>
      </c>
      <c r="BQ89" s="100">
        <f t="shared" si="53"/>
        <v>-0.11106644146380806</v>
      </c>
      <c r="BR89" s="2">
        <f t="shared" si="78"/>
        <v>0.11108511129021192</v>
      </c>
      <c r="BS89" s="2">
        <f>+Datos1[[#This Row],[RON acumulado 12 meses]]/Datos1[[#This Row],[PIB nominal (miles de millones de G.)]]*100</f>
        <v>1.8614844088040645</v>
      </c>
      <c r="BT89" s="56">
        <v>93.985145602999992</v>
      </c>
      <c r="BU89" s="56">
        <f>SUMIFS($BT$3:$BT89,$D$3:$D89,D89)</f>
        <v>280.46214404399996</v>
      </c>
      <c r="BV89" s="56">
        <f t="shared" si="98"/>
        <v>2154.7576818699999</v>
      </c>
      <c r="BW89" s="100">
        <f t="shared" si="112"/>
        <v>-0.40863404336767428</v>
      </c>
      <c r="BX89" s="100">
        <f t="shared" si="113"/>
        <v>0.39725124216670005</v>
      </c>
      <c r="BY89" s="100">
        <f t="shared" si="54"/>
        <v>0.60828370008650956</v>
      </c>
      <c r="BZ89" s="56">
        <f t="shared" si="79"/>
        <v>13.516968000903187</v>
      </c>
      <c r="CA89" s="56">
        <f>Datos1[[#This Row],[Adquisición Neta de Activos no Financieros]]/Datos1[[#This Row],[PIB nominal (miles de millones de G.)]]*100</f>
        <v>7.2862635302144027E-2</v>
      </c>
      <c r="CB89" s="56">
        <f>+Datos1[[#This Row],[ANANF acumulado por año]]/Datos1[[#This Row],[PIB nominal (miles de millones de G.)]]*100</f>
        <v>0.21743022034412923</v>
      </c>
      <c r="CC89" s="56">
        <f>+Datos1[[#This Row],[ANANF acumulado 12 meses]]/Datos1[[#This Row],[PIB nominal (miles de millones de G.)]]*100</f>
        <v>1.6704908220472623</v>
      </c>
      <c r="CD89" s="4">
        <v>59.602106168999995</v>
      </c>
      <c r="CE89" s="4">
        <f t="shared" si="80"/>
        <v>8.5719903576665999</v>
      </c>
      <c r="CF89" s="4">
        <f t="shared" si="81"/>
        <v>34.383039433999997</v>
      </c>
      <c r="CG89" s="4">
        <f t="shared" si="82"/>
        <v>4.9449776432365873</v>
      </c>
      <c r="CH89" s="56">
        <f t="shared" si="83"/>
        <v>49.302978902000049</v>
      </c>
      <c r="CI89" s="56">
        <f>SUMIFS($CH$3:$CH89,$D$3:$D89,D89)</f>
        <v>512.179626482</v>
      </c>
      <c r="CJ89" s="56">
        <f t="shared" si="91"/>
        <v>246.36166378200005</v>
      </c>
      <c r="CK89" s="56">
        <f>Datos1[[#This Row],[Resultado Fiscal (miles de millones de G.)]]*1000/$F$207</f>
        <v>7.0907672046663013</v>
      </c>
      <c r="CL89" s="56">
        <f t="shared" si="99"/>
        <v>35.431798340314153</v>
      </c>
      <c r="CM89" s="100">
        <f t="shared" si="114"/>
        <v>-1.5816964656778265</v>
      </c>
      <c r="CN89" s="100">
        <f t="shared" si="115"/>
        <v>0.42417121856715223</v>
      </c>
      <c r="CO89" s="100">
        <f t="shared" si="55"/>
        <v>-0.81902955699782143</v>
      </c>
      <c r="CP89" s="4">
        <f t="shared" si="84"/>
        <v>3.822247598806789E-2</v>
      </c>
      <c r="CQ89" s="4">
        <f t="shared" si="92"/>
        <v>0.19099358675680253</v>
      </c>
      <c r="CR89" s="73">
        <v>560.29804871800002</v>
      </c>
      <c r="CS89" s="113">
        <f>SUM(Datos1[[#This Row],[FFPP]:[MTESS]])</f>
        <v>0</v>
      </c>
      <c r="CT89" s="113"/>
      <c r="CU89" s="113"/>
      <c r="CV89" s="113"/>
      <c r="CW89" s="113"/>
      <c r="CX89" s="113"/>
      <c r="CY89" s="113"/>
      <c r="CZ89" s="113"/>
    </row>
    <row r="90" spans="1:104">
      <c r="A90">
        <v>88</v>
      </c>
      <c r="B90" s="3">
        <v>40269</v>
      </c>
      <c r="C90" s="14" t="str">
        <f t="shared" si="66"/>
        <v>Abril</v>
      </c>
      <c r="D90" s="14">
        <f t="shared" si="85"/>
        <v>2010</v>
      </c>
      <c r="E90" s="15">
        <f t="shared" si="67"/>
        <v>128989.49538850183</v>
      </c>
      <c r="F90" s="15">
        <f t="shared" si="68"/>
        <v>4739.4784449855697</v>
      </c>
      <c r="G90" s="56">
        <v>1309.3331825929999</v>
      </c>
      <c r="H90" s="4">
        <f t="shared" si="86"/>
        <v>1.0150696214830797</v>
      </c>
      <c r="I90" s="4">
        <f>SUMIFS($G$3:$G90,$D$3:$D90,D90)</f>
        <v>4563.6249877769997</v>
      </c>
      <c r="J90" s="2">
        <f t="shared" si="93"/>
        <v>14247.279383465</v>
      </c>
      <c r="K90" s="95">
        <f t="shared" si="100"/>
        <v>8.8059724788168925E-2</v>
      </c>
      <c r="L90" s="95">
        <f t="shared" si="101"/>
        <v>-1.6754797341813621E-2</v>
      </c>
      <c r="M90" s="95">
        <f t="shared" si="50"/>
        <v>0.11143782505859634</v>
      </c>
      <c r="N90" s="4">
        <v>1007.7679216779999</v>
      </c>
      <c r="O90" s="4">
        <f t="shared" si="69"/>
        <v>0.78127906357236021</v>
      </c>
      <c r="P90" s="4">
        <f>SUMIFS($N$3:$N90,$D$3:$D90,D90)</f>
        <v>3257.0523154449997</v>
      </c>
      <c r="Q90" s="4">
        <f t="shared" si="89"/>
        <v>9710.5867446320008</v>
      </c>
      <c r="R90" s="97">
        <f t="shared" si="102"/>
        <v>7.95358479245587E-2</v>
      </c>
      <c r="S90" s="97">
        <f t="shared" si="103"/>
        <v>0.1829675795672292</v>
      </c>
      <c r="T90" s="97">
        <f t="shared" si="51"/>
        <v>0.11225508644326609</v>
      </c>
      <c r="U90" s="4">
        <v>573.18531854599996</v>
      </c>
      <c r="V90" s="4">
        <f t="shared" si="94"/>
        <v>4946.9447884040001</v>
      </c>
      <c r="W90" s="97">
        <f t="shared" si="56"/>
        <v>0.2036706546772975</v>
      </c>
      <c r="X90" s="97">
        <f t="shared" si="104"/>
        <v>-7.8191035561628874E-2</v>
      </c>
      <c r="Y90" s="4">
        <v>452.34863107999996</v>
      </c>
      <c r="Z90" s="4">
        <f t="shared" si="95"/>
        <v>4749.3883252566666</v>
      </c>
      <c r="AA90" s="97">
        <f t="shared" si="57"/>
        <v>3.6331135046558938E-2</v>
      </c>
      <c r="AB90" s="97">
        <f t="shared" si="105"/>
        <v>0.36273581997898585</v>
      </c>
      <c r="AC90" s="4">
        <v>96.813204461999987</v>
      </c>
      <c r="AD90" s="4">
        <f t="shared" si="70"/>
        <v>7.505510752670945E-2</v>
      </c>
      <c r="AE90" s="4">
        <v>47.854971185999993</v>
      </c>
      <c r="AF90" s="4">
        <f t="shared" si="71"/>
        <v>3.7099897973758414E-2</v>
      </c>
      <c r="AG90" s="4">
        <v>156.89708526700002</v>
      </c>
      <c r="AH90" s="4">
        <f t="shared" si="72"/>
        <v>33.104293455116185</v>
      </c>
      <c r="AI90" s="4">
        <v>110.32043213499999</v>
      </c>
      <c r="AJ90" s="4">
        <f t="shared" si="73"/>
        <v>15.866313143925243</v>
      </c>
      <c r="AK90" s="101">
        <f>SUMIFS($AJ$3:$AJ90,$D$3:$D90,D90)</f>
        <v>69.861678301214255</v>
      </c>
      <c r="AL90" s="4">
        <v>0</v>
      </c>
      <c r="AM90" s="4">
        <f t="shared" si="74"/>
        <v>0</v>
      </c>
      <c r="AN90" s="101">
        <f>SUMIFS($AM$3:$AM90,$D$3:$D90,D90)</f>
        <v>0</v>
      </c>
      <c r="AO90" s="4">
        <f t="shared" si="87"/>
        <v>46.576653132000033</v>
      </c>
      <c r="AP90" s="56">
        <v>985.22358603799989</v>
      </c>
      <c r="AQ90" s="4">
        <f t="shared" si="75"/>
        <v>0.76380141116965949</v>
      </c>
      <c r="AR90" s="4">
        <f>SUMIFS($AP$3:$AP90,$D$3:$D90,D90)</f>
        <v>3446.8736206960002</v>
      </c>
      <c r="AS90" s="4">
        <f t="shared" si="96"/>
        <v>12005.670009476</v>
      </c>
      <c r="AT90" s="97">
        <f t="shared" si="106"/>
        <v>0.16178594716994077</v>
      </c>
      <c r="AU90" s="97">
        <f t="shared" si="107"/>
        <v>9.4141117458736545E-2</v>
      </c>
      <c r="AV90" s="98">
        <f t="shared" si="65"/>
        <v>0.2150053073854914</v>
      </c>
      <c r="AW90" s="4">
        <v>522.1851666959999</v>
      </c>
      <c r="AX90" s="4">
        <f>SUMIFS($AW$3:$AW90,$D$3:$D90,D90)</f>
        <v>2033.273238148</v>
      </c>
      <c r="AY90" s="4">
        <f t="shared" si="97"/>
        <v>6308.4007378879996</v>
      </c>
      <c r="AZ90" s="97">
        <f t="shared" si="108"/>
        <v>0.18024773139910644</v>
      </c>
      <c r="BA90" s="97">
        <f t="shared" si="109"/>
        <v>0.16561209619307937</v>
      </c>
      <c r="BB90" s="97">
        <f t="shared" si="58"/>
        <v>0.17247986656433856</v>
      </c>
      <c r="BC90" s="4">
        <v>362.65443722700002</v>
      </c>
      <c r="BD90" s="4">
        <f t="shared" si="88"/>
        <v>159.53072946899988</v>
      </c>
      <c r="BE90" s="4">
        <v>106.02431774000001</v>
      </c>
      <c r="BF90" s="4">
        <v>14.714246821000001</v>
      </c>
      <c r="BG90" s="4">
        <f t="shared" si="76"/>
        <v>2.1162067916240996</v>
      </c>
      <c r="BH90" s="4">
        <f>Datos1[[#This Row],[Intereses]]/Datos1[[#This Row],[PIB nominal (miles de millones de G.)]]*100</f>
        <v>1.1407321795222431E-2</v>
      </c>
      <c r="BI90" s="4">
        <v>118.55509077800001</v>
      </c>
      <c r="BJ90" s="4">
        <v>205.88447335000001</v>
      </c>
      <c r="BK90" s="4">
        <v>17.860290653</v>
      </c>
      <c r="BL90" s="56">
        <f t="shared" si="77"/>
        <v>324.10959655500005</v>
      </c>
      <c r="BM90" s="56">
        <f>SUMIFS($BL$3:$BL90,$D$3:$D90,D90)</f>
        <v>1116.7513670809999</v>
      </c>
      <c r="BN90" s="56">
        <f t="shared" si="90"/>
        <v>2241.6093739889993</v>
      </c>
      <c r="BO90" s="100">
        <f t="shared" si="110"/>
        <v>-0.32982530514790542</v>
      </c>
      <c r="BP90" s="100">
        <f t="shared" si="111"/>
        <v>6.9708542927459982E-2</v>
      </c>
      <c r="BQ90" s="100">
        <f t="shared" si="53"/>
        <v>-0.23692892850318126</v>
      </c>
      <c r="BR90" s="2">
        <f t="shared" si="78"/>
        <v>0.25126821031342006</v>
      </c>
      <c r="BS90" s="2">
        <f>+Datos1[[#This Row],[RON acumulado 12 meses]]/Datos1[[#This Row],[PIB nominal (miles de millones de G.)]]*100</f>
        <v>1.7378231981120047</v>
      </c>
      <c r="BT90" s="56">
        <v>129.139390975</v>
      </c>
      <c r="BU90" s="56">
        <f>SUMIFS($BT$3:$BT90,$D$3:$D90,D90)</f>
        <v>409.60153501899993</v>
      </c>
      <c r="BV90" s="56">
        <f t="shared" si="98"/>
        <v>2167.7668634070001</v>
      </c>
      <c r="BW90" s="100">
        <f t="shared" si="112"/>
        <v>0.11202237212829069</v>
      </c>
      <c r="BX90" s="100">
        <f t="shared" si="113"/>
        <v>0.29271210065487541</v>
      </c>
      <c r="BY90" s="100">
        <f t="shared" si="54"/>
        <v>0.59886693817829939</v>
      </c>
      <c r="BZ90" s="56">
        <f t="shared" si="79"/>
        <v>18.572860682034019</v>
      </c>
      <c r="CA90" s="56">
        <f>Datos1[[#This Row],[Adquisición Neta de Activos no Financieros]]/Datos1[[#This Row],[PIB nominal (miles de millones de G.)]]*100</f>
        <v>0.10011620759198003</v>
      </c>
      <c r="CB90" s="56">
        <f>+Datos1[[#This Row],[ANANF acumulado por año]]/Datos1[[#This Row],[PIB nominal (miles de millones de G.)]]*100</f>
        <v>0.31754642793610921</v>
      </c>
      <c r="CC90" s="56">
        <f>+Datos1[[#This Row],[ANANF acumulado 12 meses]]/Datos1[[#This Row],[PIB nominal (miles de millones de G.)]]*100</f>
        <v>1.6805762801675677</v>
      </c>
      <c r="CD90" s="4">
        <v>89.062279715000003</v>
      </c>
      <c r="CE90" s="4">
        <f t="shared" si="80"/>
        <v>12.808960152919285</v>
      </c>
      <c r="CF90" s="4">
        <f t="shared" si="81"/>
        <v>40.077111259999995</v>
      </c>
      <c r="CG90" s="4">
        <f t="shared" si="82"/>
        <v>5.7639005291147321</v>
      </c>
      <c r="CH90" s="56">
        <f t="shared" si="83"/>
        <v>194.97020558000006</v>
      </c>
      <c r="CI90" s="56">
        <f>SUMIFS($CH$3:$CH90,$D$3:$D90,D90)</f>
        <v>707.14983206200009</v>
      </c>
      <c r="CJ90" s="56">
        <f t="shared" si="91"/>
        <v>73.842510581999662</v>
      </c>
      <c r="CK90" s="56">
        <f>Datos1[[#This Row],[Resultado Fiscal (miles de millones de G.)]]*1000/$F$207</f>
        <v>28.04066550140297</v>
      </c>
      <c r="CL90" s="56">
        <f t="shared" si="99"/>
        <v>10.620049011355512</v>
      </c>
      <c r="CM90" s="100">
        <f t="shared" si="114"/>
        <v>-0.46945346600710647</v>
      </c>
      <c r="CN90" s="100">
        <f t="shared" si="115"/>
        <v>-2.7468521965370307E-2</v>
      </c>
      <c r="CO90" s="100">
        <f t="shared" si="55"/>
        <v>-0.95331744684727748</v>
      </c>
      <c r="CP90" s="4">
        <f t="shared" si="84"/>
        <v>0.15115200272144003</v>
      </c>
      <c r="CQ90" s="4">
        <f t="shared" si="92"/>
        <v>5.7246917944437523E-2</v>
      </c>
      <c r="CR90" s="73">
        <v>562.85042470799999</v>
      </c>
      <c r="CS90" s="113">
        <f>SUM(Datos1[[#This Row],[FFPP]:[MTESS]])</f>
        <v>0</v>
      </c>
      <c r="CT90" s="113"/>
      <c r="CU90" s="113"/>
      <c r="CV90" s="113"/>
      <c r="CW90" s="113"/>
      <c r="CX90" s="113"/>
      <c r="CY90" s="113"/>
      <c r="CZ90" s="113"/>
    </row>
    <row r="91" spans="1:104">
      <c r="A91">
        <v>89</v>
      </c>
      <c r="B91" s="3">
        <v>40299</v>
      </c>
      <c r="C91" s="14" t="str">
        <f t="shared" si="66"/>
        <v>Mayo</v>
      </c>
      <c r="D91" s="14">
        <f t="shared" si="85"/>
        <v>2010</v>
      </c>
      <c r="E91" s="15">
        <f t="shared" si="67"/>
        <v>128989.49538850183</v>
      </c>
      <c r="F91" s="15">
        <f t="shared" si="68"/>
        <v>4739.4784449855697</v>
      </c>
      <c r="G91" s="56">
        <v>1536.6515740680002</v>
      </c>
      <c r="H91" s="4">
        <f t="shared" si="86"/>
        <v>1.1912997794431079</v>
      </c>
      <c r="I91" s="4">
        <f>SUMIFS($G$3:$G91,$D$3:$D91,D91)</f>
        <v>6100.2765618449994</v>
      </c>
      <c r="J91" s="2">
        <f t="shared" si="93"/>
        <v>14589.708062138001</v>
      </c>
      <c r="K91" s="95">
        <f t="shared" si="100"/>
        <v>0.13209158873479088</v>
      </c>
      <c r="L91" s="95">
        <f t="shared" si="101"/>
        <v>0.28673766010803114</v>
      </c>
      <c r="M91" s="95">
        <f t="shared" ref="M91:M154" si="116">J91/J79-1</f>
        <v>0.13718746129582615</v>
      </c>
      <c r="N91" s="4">
        <v>1108.037842468</v>
      </c>
      <c r="O91" s="4">
        <f t="shared" si="69"/>
        <v>0.859014014382113</v>
      </c>
      <c r="P91" s="4">
        <f>SUMIFS($N$3:$N91,$D$3:$D91,D91)</f>
        <v>4365.0901579129995</v>
      </c>
      <c r="Q91" s="4">
        <f t="shared" si="89"/>
        <v>9936.2955432889994</v>
      </c>
      <c r="R91" s="97">
        <f t="shared" si="102"/>
        <v>0.25581023342732467</v>
      </c>
      <c r="S91" s="97">
        <f t="shared" si="103"/>
        <v>0.20064577843858933</v>
      </c>
      <c r="T91" s="97">
        <f t="shared" ref="T91:T154" si="117">IFERROR(Q91/Q79-1,0)</f>
        <v>0.13701240443469676</v>
      </c>
      <c r="U91" s="4">
        <v>602.92384375199993</v>
      </c>
      <c r="V91" s="4">
        <f t="shared" si="94"/>
        <v>4950.8657940679996</v>
      </c>
      <c r="W91" s="97">
        <f t="shared" si="56"/>
        <v>0.17763999082950388</v>
      </c>
      <c r="X91" s="97">
        <f t="shared" si="104"/>
        <v>6.5458882908062677E-3</v>
      </c>
      <c r="Y91" s="4">
        <v>474.09950435600001</v>
      </c>
      <c r="Z91" s="4">
        <f t="shared" si="95"/>
        <v>4972.2683665493332</v>
      </c>
      <c r="AA91" s="97">
        <f t="shared" si="57"/>
        <v>0.11814047465990862</v>
      </c>
      <c r="AB91" s="97">
        <f t="shared" si="105"/>
        <v>0.88719257088961245</v>
      </c>
      <c r="AC91" s="4">
        <v>90.015126281000008</v>
      </c>
      <c r="AD91" s="4">
        <f t="shared" si="70"/>
        <v>6.9784850316597161E-2</v>
      </c>
      <c r="AE91" s="4">
        <v>82.54706309800001</v>
      </c>
      <c r="AF91" s="4">
        <f t="shared" si="71"/>
        <v>6.399518259171226E-2</v>
      </c>
      <c r="AG91" s="4">
        <v>256.05154222100003</v>
      </c>
      <c r="AH91" s="4">
        <f t="shared" si="72"/>
        <v>54.025257249963005</v>
      </c>
      <c r="AI91" s="4">
        <v>119.067152028</v>
      </c>
      <c r="AJ91" s="4">
        <f t="shared" si="73"/>
        <v>17.124268666023944</v>
      </c>
      <c r="AK91" s="101">
        <f>SUMIFS($AJ$3:$AJ91,$D$3:$D91,D91)</f>
        <v>86.985946967238192</v>
      </c>
      <c r="AL91" s="4">
        <v>0</v>
      </c>
      <c r="AM91" s="4">
        <f t="shared" si="74"/>
        <v>0</v>
      </c>
      <c r="AN91" s="101">
        <f>SUMIFS($AM$3:$AM91,$D$3:$D91,D91)</f>
        <v>0</v>
      </c>
      <c r="AO91" s="4">
        <f t="shared" si="87"/>
        <v>136.98439019300002</v>
      </c>
      <c r="AP91" s="56">
        <v>905.04170743199995</v>
      </c>
      <c r="AQ91" s="4">
        <f t="shared" si="75"/>
        <v>0.70163985424248398</v>
      </c>
      <c r="AR91" s="4">
        <f>SUMIFS($AP$3:$AP91,$D$3:$D91,D91)</f>
        <v>4351.9153281280005</v>
      </c>
      <c r="AS91" s="4">
        <f t="shared" si="96"/>
        <v>12001.653042246</v>
      </c>
      <c r="AT91" s="97">
        <f t="shared" si="106"/>
        <v>-4.4188206349756731E-3</v>
      </c>
      <c r="AU91" s="97">
        <f t="shared" si="107"/>
        <v>7.2069466106015057E-2</v>
      </c>
      <c r="AV91" s="98">
        <f t="shared" ref="AV91:AV122" si="118">IFERROR(AS91/AS79-1,0)</f>
        <v>0.18622616894899524</v>
      </c>
      <c r="AW91" s="4">
        <v>518.55041355999992</v>
      </c>
      <c r="AX91" s="4">
        <f>SUMIFS($AW$3:$AW91,$D$3:$D91,D91)</f>
        <v>2551.8236517079999</v>
      </c>
      <c r="AY91" s="4">
        <f t="shared" si="97"/>
        <v>6377.3201062839998</v>
      </c>
      <c r="AZ91" s="97">
        <f t="shared" si="108"/>
        <v>0.1532798260646393</v>
      </c>
      <c r="BA91" s="97">
        <f t="shared" si="109"/>
        <v>0.16308477736893967</v>
      </c>
      <c r="BB91" s="97">
        <f t="shared" si="58"/>
        <v>0.1739050982180701</v>
      </c>
      <c r="BC91" s="4">
        <v>362.99581262800001</v>
      </c>
      <c r="BD91" s="4">
        <f t="shared" si="88"/>
        <v>155.55460093199991</v>
      </c>
      <c r="BE91" s="4">
        <v>97.035298397000005</v>
      </c>
      <c r="BF91" s="4">
        <v>31.982996918000005</v>
      </c>
      <c r="BG91" s="4">
        <f t="shared" si="76"/>
        <v>4.5998029065115578</v>
      </c>
      <c r="BH91" s="4">
        <f>Datos1[[#This Row],[Intereses]]/Datos1[[#This Row],[PIB nominal (miles de millones de G.)]]*100</f>
        <v>2.4795039953967427E-2</v>
      </c>
      <c r="BI91" s="4">
        <v>111.681231516</v>
      </c>
      <c r="BJ91" s="4">
        <v>133.24841913399999</v>
      </c>
      <c r="BK91" s="4">
        <v>12.543347907000001</v>
      </c>
      <c r="BL91" s="56">
        <f t="shared" si="77"/>
        <v>631.60986663600022</v>
      </c>
      <c r="BM91" s="56">
        <f>SUMIFS($BL$3:$BL91,$D$3:$D91,D91)</f>
        <v>1748.3612337170002</v>
      </c>
      <c r="BN91" s="56">
        <f t="shared" si="90"/>
        <v>2588.0550198919996</v>
      </c>
      <c r="BO91" s="100">
        <f t="shared" si="110"/>
        <v>1.2148987170006111</v>
      </c>
      <c r="BP91" s="100">
        <f t="shared" si="111"/>
        <v>0.31540644222237368</v>
      </c>
      <c r="BQ91" s="100">
        <f t="shared" ref="BQ91:BQ154" si="119">IFERROR(BN91/BN79-1,0)</f>
        <v>-4.5749504870817637E-2</v>
      </c>
      <c r="BR91" s="2">
        <f t="shared" si="78"/>
        <v>0.48965992520062385</v>
      </c>
      <c r="BS91" s="2">
        <f>+Datos1[[#This Row],[RON acumulado 12 meses]]/Datos1[[#This Row],[PIB nominal (miles de millones de G.)]]*100</f>
        <v>2.006407585437147</v>
      </c>
      <c r="BT91" s="56">
        <v>139.663017612</v>
      </c>
      <c r="BU91" s="56">
        <f>SUMIFS($BT$3:$BT91,$D$3:$D91,D91)</f>
        <v>549.2645526309999</v>
      </c>
      <c r="BV91" s="56">
        <f t="shared" si="98"/>
        <v>2179.802747661</v>
      </c>
      <c r="BW91" s="100">
        <f t="shared" si="112"/>
        <v>9.4305058315764079E-2</v>
      </c>
      <c r="BX91" s="100">
        <f t="shared" si="113"/>
        <v>0.23574208197376367</v>
      </c>
      <c r="BY91" s="100">
        <f t="shared" ref="BY91:BY154" si="120">IFERROR(BV91/BV79-1,0)</f>
        <v>0.60856687398478537</v>
      </c>
      <c r="BZ91" s="56">
        <f t="shared" si="79"/>
        <v>20.086371392616361</v>
      </c>
      <c r="CA91" s="56">
        <f>Datos1[[#This Row],[Adquisición Neta de Activos no Financieros]]/Datos1[[#This Row],[PIB nominal (miles de millones de G.)]]*100</f>
        <v>0.10827472205496326</v>
      </c>
      <c r="CB91" s="56">
        <f>+Datos1[[#This Row],[ANANF acumulado por año]]/Datos1[[#This Row],[PIB nominal (miles de millones de G.)]]*100</f>
        <v>0.42582114999107246</v>
      </c>
      <c r="CC91" s="56">
        <f>+Datos1[[#This Row],[ANANF acumulado 12 meses]]/Datos1[[#This Row],[PIB nominal (miles de millones de G.)]]*100</f>
        <v>1.6899071828257637</v>
      </c>
      <c r="CD91" s="4">
        <v>81.210647107</v>
      </c>
      <c r="CE91" s="4">
        <f t="shared" si="80"/>
        <v>11.679736316149526</v>
      </c>
      <c r="CF91" s="4">
        <f t="shared" si="81"/>
        <v>58.452370505000005</v>
      </c>
      <c r="CG91" s="4">
        <f t="shared" si="82"/>
        <v>8.4066350764668343</v>
      </c>
      <c r="CH91" s="56">
        <f t="shared" si="83"/>
        <v>491.94684902400024</v>
      </c>
      <c r="CI91" s="56">
        <f>SUMIFS($CH$3:$CH91,$D$3:$D91,D91)</f>
        <v>1199.0966810860004</v>
      </c>
      <c r="CJ91" s="56">
        <f t="shared" si="91"/>
        <v>408.25227223100023</v>
      </c>
      <c r="CK91" s="56">
        <f>Datos1[[#This Row],[Resultado Fiscal (miles de millones de G.)]]*1000/$F$207</f>
        <v>70.751923335747932</v>
      </c>
      <c r="CL91" s="56">
        <f t="shared" si="99"/>
        <v>58.714947608340999</v>
      </c>
      <c r="CM91" s="100">
        <f t="shared" si="114"/>
        <v>2.1227367296246551</v>
      </c>
      <c r="CN91" s="100">
        <f t="shared" si="115"/>
        <v>0.35543237508194014</v>
      </c>
      <c r="CO91" s="100">
        <f t="shared" ref="CO91:CO154" si="121">IFERROR(CJ91/CJ79-1,0)</f>
        <v>-0.69915370573862012</v>
      </c>
      <c r="CP91" s="4">
        <f t="shared" si="84"/>
        <v>0.3813852031456606</v>
      </c>
      <c r="CQ91" s="4">
        <f t="shared" si="92"/>
        <v>0.31650040261138351</v>
      </c>
      <c r="CR91" s="73">
        <v>561.17015485800005</v>
      </c>
      <c r="CS91" s="113">
        <f>SUM(Datos1[[#This Row],[FFPP]:[MTESS]])</f>
        <v>0</v>
      </c>
      <c r="CT91" s="113"/>
      <c r="CU91" s="113"/>
      <c r="CV91" s="113"/>
      <c r="CW91" s="113"/>
      <c r="CX91" s="113"/>
      <c r="CY91" s="113"/>
      <c r="CZ91" s="113"/>
    </row>
    <row r="92" spans="1:104">
      <c r="A92">
        <v>90</v>
      </c>
      <c r="B92" s="3">
        <v>40330</v>
      </c>
      <c r="C92" s="14" t="str">
        <f t="shared" si="66"/>
        <v>Junio</v>
      </c>
      <c r="D92" s="14">
        <f t="shared" si="85"/>
        <v>2010</v>
      </c>
      <c r="E92" s="15">
        <f t="shared" si="67"/>
        <v>128989.49538850183</v>
      </c>
      <c r="F92" s="15">
        <f t="shared" si="68"/>
        <v>4739.4784449855697</v>
      </c>
      <c r="G92" s="56">
        <v>1348.71413611</v>
      </c>
      <c r="H92" s="4">
        <f t="shared" si="86"/>
        <v>1.0455999785469543</v>
      </c>
      <c r="I92" s="4">
        <f>SUMIFS($G$3:$G92,$D$3:$D92,D92)</f>
        <v>7448.9906979549996</v>
      </c>
      <c r="J92" s="2">
        <f t="shared" si="93"/>
        <v>14937.589616403002</v>
      </c>
      <c r="K92" s="95">
        <f t="shared" si="100"/>
        <v>0.16584784650026108</v>
      </c>
      <c r="L92" s="95">
        <f t="shared" si="101"/>
        <v>0.34759215534699339</v>
      </c>
      <c r="M92" s="95">
        <f t="shared" si="116"/>
        <v>0.16076160759075053</v>
      </c>
      <c r="N92" s="4">
        <v>958.92734579599994</v>
      </c>
      <c r="O92" s="4">
        <f t="shared" si="69"/>
        <v>0.74341506872929364</v>
      </c>
      <c r="P92" s="4">
        <f>SUMIFS($N$3:$N92,$D$3:$D92,D92)</f>
        <v>5324.0175037089994</v>
      </c>
      <c r="Q92" s="4">
        <f t="shared" si="89"/>
        <v>10220.690454898</v>
      </c>
      <c r="R92" s="97">
        <f t="shared" si="102"/>
        <v>0.42161784548103332</v>
      </c>
      <c r="S92" s="97">
        <f t="shared" si="103"/>
        <v>0.23522758870774241</v>
      </c>
      <c r="T92" s="97">
        <f t="shared" si="117"/>
        <v>0.16987397856488817</v>
      </c>
      <c r="U92" s="4">
        <v>458.00149634600001</v>
      </c>
      <c r="V92" s="4">
        <f t="shared" si="94"/>
        <v>5101.0453476459998</v>
      </c>
      <c r="W92" s="97">
        <f t="shared" ref="W92:W155" si="122">V92/V80-1</f>
        <v>0.21445670725525368</v>
      </c>
      <c r="X92" s="97">
        <f t="shared" si="104"/>
        <v>0.48787799929905518</v>
      </c>
      <c r="Y92" s="4">
        <v>497.04065592400008</v>
      </c>
      <c r="Z92" s="4">
        <f t="shared" si="95"/>
        <v>5087.8362477619994</v>
      </c>
      <c r="AA92" s="97">
        <f t="shared" ref="AA92:AA155" si="123">Z92/Z80-1</f>
        <v>0.13770784564102789</v>
      </c>
      <c r="AB92" s="97">
        <f t="shared" si="105"/>
        <v>0.30295184577751022</v>
      </c>
      <c r="AC92" s="4">
        <v>91.942781948999993</v>
      </c>
      <c r="AD92" s="4">
        <f t="shared" si="70"/>
        <v>7.1279278728921827E-2</v>
      </c>
      <c r="AE92" s="4">
        <v>99.44651183900001</v>
      </c>
      <c r="AF92" s="4">
        <f t="shared" si="71"/>
        <v>7.7096597315524276E-2</v>
      </c>
      <c r="AG92" s="4">
        <v>198.397496526</v>
      </c>
      <c r="AH92" s="4">
        <f t="shared" si="72"/>
        <v>41.860617962279619</v>
      </c>
      <c r="AI92" s="4">
        <v>117.02006054799999</v>
      </c>
      <c r="AJ92" s="4">
        <f t="shared" si="73"/>
        <v>16.829855438778829</v>
      </c>
      <c r="AK92" s="101">
        <f>SUMIFS($AJ$3:$AJ92,$D$3:$D92,D92)</f>
        <v>103.81580240601701</v>
      </c>
      <c r="AL92" s="4">
        <v>0</v>
      </c>
      <c r="AM92" s="4">
        <f t="shared" si="74"/>
        <v>0</v>
      </c>
      <c r="AN92" s="101">
        <f>SUMIFS($AM$3:$AM92,$D$3:$D92,D92)</f>
        <v>0</v>
      </c>
      <c r="AO92" s="4">
        <f t="shared" si="87"/>
        <v>81.377435978000008</v>
      </c>
      <c r="AP92" s="56">
        <v>1134.1617800519998</v>
      </c>
      <c r="AQ92" s="4">
        <f t="shared" si="75"/>
        <v>0.87926677799307007</v>
      </c>
      <c r="AR92" s="4">
        <f>SUMIFS($AP$3:$AP92,$D$3:$D92,D92)</f>
        <v>5486.0771081800003</v>
      </c>
      <c r="AS92" s="4">
        <f t="shared" si="96"/>
        <v>12222.113762912</v>
      </c>
      <c r="AT92" s="97">
        <f t="shared" si="106"/>
        <v>0.24128320570641315</v>
      </c>
      <c r="AU92" s="97">
        <f t="shared" si="107"/>
        <v>0.10315912861033349</v>
      </c>
      <c r="AV92" s="98">
        <f t="shared" si="118"/>
        <v>0.18722873085929614</v>
      </c>
      <c r="AW92" s="4">
        <v>523.99289673199985</v>
      </c>
      <c r="AX92" s="4">
        <f>SUMIFS($AW$3:$AW92,$D$3:$D92,D92)</f>
        <v>3075.8165484399997</v>
      </c>
      <c r="AY92" s="4">
        <f t="shared" si="97"/>
        <v>6446.6429221850003</v>
      </c>
      <c r="AZ92" s="97">
        <f t="shared" si="108"/>
        <v>0.15246839152974112</v>
      </c>
      <c r="BA92" s="97">
        <f t="shared" si="109"/>
        <v>0.16126238033999907</v>
      </c>
      <c r="BB92" s="97">
        <f t="shared" ref="BB92:BB155" si="124">IFERROR(AY92/AY80-1,0)</f>
        <v>0.17618943909809892</v>
      </c>
      <c r="BC92" s="4">
        <v>362.712747116</v>
      </c>
      <c r="BD92" s="4">
        <f t="shared" si="88"/>
        <v>161.28014961599985</v>
      </c>
      <c r="BE92" s="4">
        <v>101.84653248699999</v>
      </c>
      <c r="BF92" s="4">
        <v>15.261462385</v>
      </c>
      <c r="BG92" s="4">
        <f t="shared" si="76"/>
        <v>2.1949074758729523</v>
      </c>
      <c r="BH92" s="4">
        <f>Datos1[[#This Row],[Intereses]]/Datos1[[#This Row],[PIB nominal (miles de millones de G.)]]*100</f>
        <v>1.183155445258096E-2</v>
      </c>
      <c r="BI92" s="4">
        <v>327.57747591600003</v>
      </c>
      <c r="BJ92" s="4">
        <v>137.00150501200002</v>
      </c>
      <c r="BK92" s="4">
        <v>28.48190752</v>
      </c>
      <c r="BL92" s="56">
        <f t="shared" si="77"/>
        <v>214.55235605800021</v>
      </c>
      <c r="BM92" s="56">
        <f>SUMIFS($BL$3:$BL92,$D$3:$D92,D92)</f>
        <v>1962.9135897750004</v>
      </c>
      <c r="BN92" s="56">
        <f t="shared" si="90"/>
        <v>2715.4758534909997</v>
      </c>
      <c r="BO92" s="100">
        <f t="shared" si="110"/>
        <v>1.4623965013231324</v>
      </c>
      <c r="BP92" s="100">
        <f t="shared" si="111"/>
        <v>0.38597122148584151</v>
      </c>
      <c r="BQ92" s="100">
        <f t="shared" si="119"/>
        <v>5.4912066699884354E-2</v>
      </c>
      <c r="BR92" s="2">
        <f t="shared" si="78"/>
        <v>0.1663332005538844</v>
      </c>
      <c r="BS92" s="2">
        <f>+Datos1[[#This Row],[RON acumulado 12 meses]]/Datos1[[#This Row],[PIB nominal (miles de millones de G.)]]*100</f>
        <v>2.1051914695164071</v>
      </c>
      <c r="BT92" s="56">
        <v>146.85220017099999</v>
      </c>
      <c r="BU92" s="56">
        <f>SUMIFS($BT$3:$BT92,$D$3:$D92,D92)</f>
        <v>696.11675280199984</v>
      </c>
      <c r="BV92" s="56">
        <f t="shared" si="98"/>
        <v>2197.6302662180001</v>
      </c>
      <c r="BW92" s="100">
        <f t="shared" si="112"/>
        <v>0.13817138189369182</v>
      </c>
      <c r="BX92" s="100">
        <f t="shared" si="113"/>
        <v>0.21379109368714988</v>
      </c>
      <c r="BY92" s="100">
        <f t="shared" si="120"/>
        <v>0.56080313606633903</v>
      </c>
      <c r="BZ92" s="56">
        <f t="shared" si="79"/>
        <v>21.120321491636609</v>
      </c>
      <c r="CA92" s="56">
        <f>Datos1[[#This Row],[Adquisición Neta de Activos no Financieros]]/Datos1[[#This Row],[PIB nominal (miles de millones de G.)]]*100</f>
        <v>0.11384818564387565</v>
      </c>
      <c r="CB92" s="56">
        <f>+Datos1[[#This Row],[ANANF acumulado por año]]/Datos1[[#This Row],[PIB nominal (miles de millones de G.)]]*100</f>
        <v>0.53966933563494801</v>
      </c>
      <c r="CC92" s="56">
        <f>+Datos1[[#This Row],[ANANF acumulado 12 meses]]/Datos1[[#This Row],[PIB nominal (miles de millones de G.)]]*100</f>
        <v>1.7037280901045355</v>
      </c>
      <c r="CD92" s="4">
        <v>57.490605440999992</v>
      </c>
      <c r="CE92" s="4">
        <f t="shared" si="80"/>
        <v>8.2683137756797045</v>
      </c>
      <c r="CF92" s="4">
        <f t="shared" si="81"/>
        <v>89.361594730000007</v>
      </c>
      <c r="CG92" s="4">
        <f t="shared" si="82"/>
        <v>12.852007715956905</v>
      </c>
      <c r="CH92" s="56">
        <f t="shared" si="83"/>
        <v>67.700155887000221</v>
      </c>
      <c r="CI92" s="56">
        <f>SUMIFS($CH$3:$CH92,$D$3:$D92,D92)</f>
        <v>1266.7968369730006</v>
      </c>
      <c r="CJ92" s="56">
        <f t="shared" si="91"/>
        <v>517.84558727300009</v>
      </c>
      <c r="CK92" s="56">
        <f>Datos1[[#This Row],[Resultado Fiscal (miles de millones de G.)]]*1000/$F$207</f>
        <v>9.7366539670661485</v>
      </c>
      <c r="CL92" s="56">
        <f t="shared" si="99"/>
        <v>74.476686583487421</v>
      </c>
      <c r="CM92" s="100">
        <f t="shared" si="114"/>
        <v>-2.6160193514296131</v>
      </c>
      <c r="CN92" s="100">
        <f t="shared" si="115"/>
        <v>0.50314050450040626</v>
      </c>
      <c r="CO92" s="100">
        <f t="shared" si="121"/>
        <v>-0.55592154998803966</v>
      </c>
      <c r="CP92" s="4">
        <f t="shared" si="84"/>
        <v>5.2485014910008738E-2</v>
      </c>
      <c r="CQ92" s="4">
        <f t="shared" si="92"/>
        <v>0.40146337941187188</v>
      </c>
      <c r="CR92" s="73">
        <v>563.73056982900005</v>
      </c>
      <c r="CS92" s="113">
        <f>SUM(Datos1[[#This Row],[FFPP]:[MTESS]])</f>
        <v>0</v>
      </c>
      <c r="CT92" s="113"/>
      <c r="CU92" s="113"/>
      <c r="CV92" s="113"/>
      <c r="CW92" s="113"/>
      <c r="CX92" s="113"/>
      <c r="CY92" s="113"/>
      <c r="CZ92" s="113"/>
    </row>
    <row r="93" spans="1:104">
      <c r="A93">
        <v>91</v>
      </c>
      <c r="B93" s="3">
        <v>40360</v>
      </c>
      <c r="C93" s="14" t="str">
        <f t="shared" si="66"/>
        <v>Julio</v>
      </c>
      <c r="D93" s="14">
        <f t="shared" si="85"/>
        <v>2010</v>
      </c>
      <c r="E93" s="15">
        <f t="shared" si="67"/>
        <v>128989.49538850183</v>
      </c>
      <c r="F93" s="15">
        <f t="shared" si="68"/>
        <v>4739.4784449855697</v>
      </c>
      <c r="G93" s="56">
        <v>1329.911541814</v>
      </c>
      <c r="H93" s="4">
        <f t="shared" si="86"/>
        <v>1.0310231370457386</v>
      </c>
      <c r="I93" s="4">
        <f>SUMIFS($G$3:$G93,$D$3:$D93,D93)</f>
        <v>8778.9022397689987</v>
      </c>
      <c r="J93" s="2">
        <f t="shared" si="93"/>
        <v>14955.3472219</v>
      </c>
      <c r="K93" s="95">
        <f t="shared" si="100"/>
        <v>0.13989697650915867</v>
      </c>
      <c r="L93" s="95">
        <f t="shared" si="101"/>
        <v>1.3533172446856812E-2</v>
      </c>
      <c r="M93" s="95">
        <f t="shared" si="116"/>
        <v>0.14211174788939451</v>
      </c>
      <c r="N93" s="4">
        <v>1008.3764489549999</v>
      </c>
      <c r="O93" s="4">
        <f t="shared" si="69"/>
        <v>0.78175082856001854</v>
      </c>
      <c r="P93" s="4">
        <f>SUMIFS($N$3:$N93,$D$3:$D93,D93)</f>
        <v>6332.3939526639988</v>
      </c>
      <c r="Q93" s="4">
        <f t="shared" si="89"/>
        <v>10347.543552548999</v>
      </c>
      <c r="R93" s="97">
        <f t="shared" si="102"/>
        <v>0.14390214106450117</v>
      </c>
      <c r="S93" s="97">
        <f t="shared" si="103"/>
        <v>0.21972093165426321</v>
      </c>
      <c r="T93" s="97">
        <f t="shared" si="117"/>
        <v>0.18575107061346641</v>
      </c>
      <c r="U93" s="4">
        <v>538.02596654800016</v>
      </c>
      <c r="V93" s="4">
        <f t="shared" si="94"/>
        <v>5118.352625304</v>
      </c>
      <c r="W93" s="97">
        <f t="shared" si="122"/>
        <v>0.19284802697060743</v>
      </c>
      <c r="X93" s="97">
        <f t="shared" si="104"/>
        <v>3.3237289206756726E-2</v>
      </c>
      <c r="Y93" s="4">
        <v>492.83894598799998</v>
      </c>
      <c r="Z93" s="4">
        <f t="shared" si="95"/>
        <v>5203.6288703246664</v>
      </c>
      <c r="AA93" s="97">
        <f t="shared" si="123"/>
        <v>0.18159739683941156</v>
      </c>
      <c r="AB93" s="97">
        <f t="shared" si="105"/>
        <v>0.30710449981511911</v>
      </c>
      <c r="AC93" s="4">
        <v>100.93714282799999</v>
      </c>
      <c r="AD93" s="4">
        <f t="shared" si="70"/>
        <v>7.8252219317541075E-2</v>
      </c>
      <c r="AE93" s="4">
        <v>38.845120503000004</v>
      </c>
      <c r="AF93" s="4">
        <f t="shared" si="71"/>
        <v>3.0114948807267502E-2</v>
      </c>
      <c r="AG93" s="4">
        <v>181.75282952800001</v>
      </c>
      <c r="AH93" s="4">
        <f t="shared" si="72"/>
        <v>38.348698414336468</v>
      </c>
      <c r="AI93" s="4">
        <v>124.90430323899999</v>
      </c>
      <c r="AJ93" s="4">
        <f t="shared" si="73"/>
        <v>17.963769266137945</v>
      </c>
      <c r="AK93" s="101">
        <f>SUMIFS($AJ$3:$AJ93,$D$3:$D93,D93)</f>
        <v>121.77957167215496</v>
      </c>
      <c r="AL93" s="4">
        <v>0</v>
      </c>
      <c r="AM93" s="4">
        <f t="shared" si="74"/>
        <v>0</v>
      </c>
      <c r="AN93" s="101">
        <f>SUMIFS($AM$3:$AM93,$D$3:$D93,D93)</f>
        <v>0</v>
      </c>
      <c r="AO93" s="4">
        <f t="shared" si="87"/>
        <v>56.84852628900002</v>
      </c>
      <c r="AP93" s="56">
        <v>947.84010428400029</v>
      </c>
      <c r="AQ93" s="4">
        <f t="shared" si="75"/>
        <v>0.7348196079294772</v>
      </c>
      <c r="AR93" s="4">
        <f>SUMIFS($AP$3:$AP93,$D$3:$D93,D93)</f>
        <v>6433.9172124640008</v>
      </c>
      <c r="AS93" s="4">
        <f t="shared" si="96"/>
        <v>12249.53304715</v>
      </c>
      <c r="AT93" s="97">
        <f t="shared" si="106"/>
        <v>2.9789943513696349E-2</v>
      </c>
      <c r="AU93" s="97">
        <f t="shared" si="107"/>
        <v>9.1700616801634549E-2</v>
      </c>
      <c r="AV93" s="98">
        <f t="shared" si="118"/>
        <v>0.17713012208160306</v>
      </c>
      <c r="AW93" s="4">
        <v>532.49831833000019</v>
      </c>
      <c r="AX93" s="4">
        <f>SUMIFS($AW$3:$AW93,$D$3:$D93,D93)</f>
        <v>3608.3148667699998</v>
      </c>
      <c r="AY93" s="4">
        <f t="shared" si="97"/>
        <v>6511.1536007480008</v>
      </c>
      <c r="AZ93" s="97">
        <f t="shared" si="108"/>
        <v>0.13784697090529718</v>
      </c>
      <c r="BA93" s="97">
        <f t="shared" si="109"/>
        <v>0.15774641039144099</v>
      </c>
      <c r="BB93" s="97">
        <f t="shared" si="124"/>
        <v>0.17382851061917437</v>
      </c>
      <c r="BC93" s="4">
        <v>361.79498266100001</v>
      </c>
      <c r="BD93" s="4">
        <f t="shared" si="88"/>
        <v>170.70333566900018</v>
      </c>
      <c r="BE93" s="4">
        <v>80.456538577000003</v>
      </c>
      <c r="BF93" s="4">
        <v>20.188809864</v>
      </c>
      <c r="BG93" s="4">
        <f t="shared" si="76"/>
        <v>2.9035598674360728</v>
      </c>
      <c r="BH93" s="4">
        <f>Datos1[[#This Row],[Intereses]]/Datos1[[#This Row],[PIB nominal (miles de millones de G.)]]*100</f>
        <v>1.5651514724663106E-2</v>
      </c>
      <c r="BI93" s="4">
        <v>150.17702791400001</v>
      </c>
      <c r="BJ93" s="4">
        <v>128.16501265799999</v>
      </c>
      <c r="BK93" s="4">
        <v>36.354396941000005</v>
      </c>
      <c r="BL93" s="56">
        <f t="shared" si="77"/>
        <v>382.07143752999968</v>
      </c>
      <c r="BM93" s="56">
        <f>SUMIFS($BL$3:$BL93,$D$3:$D93,D93)</f>
        <v>2344.9850273050001</v>
      </c>
      <c r="BN93" s="56">
        <f t="shared" si="90"/>
        <v>2705.8141747499994</v>
      </c>
      <c r="BO93" s="100">
        <f t="shared" si="110"/>
        <v>-2.466393148726409E-2</v>
      </c>
      <c r="BP93" s="100">
        <f t="shared" si="111"/>
        <v>0.29700062088761525</v>
      </c>
      <c r="BQ93" s="100">
        <f t="shared" si="119"/>
        <v>6.5524028175814042E-3</v>
      </c>
      <c r="BR93" s="2">
        <f t="shared" si="78"/>
        <v>0.29620352911626141</v>
      </c>
      <c r="BS93" s="2">
        <f>+Datos1[[#This Row],[RON acumulado 12 meses]]/Datos1[[#This Row],[PIB nominal (miles de millones de G.)]]*100</f>
        <v>2.0977011861317791</v>
      </c>
      <c r="BT93" s="56">
        <v>117.58548041299998</v>
      </c>
      <c r="BU93" s="56">
        <f>SUMIFS($BT$3:$BT93,$D$3:$D93,D93)</f>
        <v>813.70223321499986</v>
      </c>
      <c r="BV93" s="56">
        <f t="shared" si="98"/>
        <v>2197.971747181</v>
      </c>
      <c r="BW93" s="100">
        <f t="shared" si="112"/>
        <v>2.9125666524676408E-3</v>
      </c>
      <c r="BX93" s="100">
        <f t="shared" si="113"/>
        <v>0.17799777666277183</v>
      </c>
      <c r="BY93" s="100">
        <f t="shared" si="120"/>
        <v>0.58863844844698998</v>
      </c>
      <c r="BZ93" s="56">
        <f t="shared" si="79"/>
        <v>16.911174270315925</v>
      </c>
      <c r="CA93" s="56">
        <f>Datos1[[#This Row],[Adquisición Neta de Activos no Financieros]]/Datos1[[#This Row],[PIB nominal (miles de millones de G.)]]*100</f>
        <v>9.1158958377847557E-2</v>
      </c>
      <c r="CB93" s="56">
        <f>+Datos1[[#This Row],[ANANF acumulado por año]]/Datos1[[#This Row],[PIB nominal (miles de millones de G.)]]*100</f>
        <v>0.63082829401279561</v>
      </c>
      <c r="CC93" s="56">
        <f>+Datos1[[#This Row],[ANANF acumulado 12 meses]]/Datos1[[#This Row],[PIB nominal (miles de millones de G.)]]*100</f>
        <v>1.7039928255870422</v>
      </c>
      <c r="CD93" s="4">
        <v>53.39386829099999</v>
      </c>
      <c r="CE93" s="4">
        <f t="shared" si="80"/>
        <v>7.6791199769216396</v>
      </c>
      <c r="CF93" s="4">
        <f t="shared" si="81"/>
        <v>64.191612121999995</v>
      </c>
      <c r="CG93" s="4">
        <f t="shared" si="82"/>
        <v>9.2320542933942846</v>
      </c>
      <c r="CH93" s="56">
        <f t="shared" si="83"/>
        <v>264.48595711699971</v>
      </c>
      <c r="CI93" s="56">
        <f>SUMIFS($CH$3:$CH93,$D$3:$D93,D93)</f>
        <v>1531.2827940900004</v>
      </c>
      <c r="CJ93" s="56">
        <f t="shared" si="91"/>
        <v>507.84242756899971</v>
      </c>
      <c r="CK93" s="56">
        <f>Datos1[[#This Row],[Resultado Fiscal (miles de millones de G.)]]*1000/$F$207</f>
        <v>38.038438905441488</v>
      </c>
      <c r="CL93" s="56">
        <f t="shared" si="99"/>
        <v>73.038029562110381</v>
      </c>
      <c r="CM93" s="100">
        <f t="shared" si="114"/>
        <v>-3.644282811592725E-2</v>
      </c>
      <c r="CN93" s="100">
        <f t="shared" si="115"/>
        <v>0.37057485245061428</v>
      </c>
      <c r="CO93" s="100">
        <f t="shared" si="121"/>
        <v>-0.61074224805174482</v>
      </c>
      <c r="CP93" s="4">
        <f t="shared" si="84"/>
        <v>0.20504457073841384</v>
      </c>
      <c r="CQ93" s="4">
        <f t="shared" si="92"/>
        <v>0.39370836054473701</v>
      </c>
      <c r="CR93" s="73">
        <v>569.82765529100004</v>
      </c>
      <c r="CS93" s="113">
        <f>SUM(Datos1[[#This Row],[FFPP]:[MTESS]])</f>
        <v>0</v>
      </c>
      <c r="CT93" s="113"/>
      <c r="CU93" s="113"/>
      <c r="CV93" s="113"/>
      <c r="CW93" s="113"/>
      <c r="CX93" s="113"/>
      <c r="CY93" s="113"/>
      <c r="CZ93" s="113"/>
    </row>
    <row r="94" spans="1:104">
      <c r="A94">
        <v>92</v>
      </c>
      <c r="B94" s="3">
        <v>40391</v>
      </c>
      <c r="C94" s="14" t="str">
        <f t="shared" si="66"/>
        <v>Agosto</v>
      </c>
      <c r="D94" s="14">
        <f t="shared" si="85"/>
        <v>2010</v>
      </c>
      <c r="E94" s="15">
        <f t="shared" si="67"/>
        <v>128989.49538850183</v>
      </c>
      <c r="F94" s="15">
        <f t="shared" si="68"/>
        <v>4739.4784449855697</v>
      </c>
      <c r="G94" s="56">
        <v>1205.2821447450001</v>
      </c>
      <c r="H94" s="4">
        <f t="shared" si="86"/>
        <v>0.9344033334767502</v>
      </c>
      <c r="I94" s="4">
        <f>SUMIFS($G$3:$G94,$D$3:$D94,D94)</f>
        <v>9984.1843845139992</v>
      </c>
      <c r="J94" s="2">
        <f t="shared" si="93"/>
        <v>15078.036636179</v>
      </c>
      <c r="K94" s="95">
        <f t="shared" si="100"/>
        <v>0.13662263987197276</v>
      </c>
      <c r="L94" s="95">
        <f t="shared" si="101"/>
        <v>0.11332924268407818</v>
      </c>
      <c r="M94" s="95">
        <f t="shared" si="116"/>
        <v>0.14002604670929375</v>
      </c>
      <c r="N94" s="4">
        <v>868.84863660800011</v>
      </c>
      <c r="O94" s="4">
        <f t="shared" si="69"/>
        <v>0.67358092532351244</v>
      </c>
      <c r="P94" s="4">
        <f>SUMIFS($N$3:$N94,$D$3:$D94,D94)</f>
        <v>7201.2425892719984</v>
      </c>
      <c r="Q94" s="4">
        <f t="shared" si="89"/>
        <v>10483.549033837999</v>
      </c>
      <c r="R94" s="97">
        <f t="shared" si="102"/>
        <v>0.18558607022780782</v>
      </c>
      <c r="S94" s="97">
        <f t="shared" si="103"/>
        <v>0.21549856261527811</v>
      </c>
      <c r="T94" s="97">
        <f t="shared" si="117"/>
        <v>0.18518569484038139</v>
      </c>
      <c r="U94" s="4">
        <v>325.88071795299999</v>
      </c>
      <c r="V94" s="4">
        <f t="shared" si="94"/>
        <v>5089.5229491330001</v>
      </c>
      <c r="W94" s="97">
        <f t="shared" si="122"/>
        <v>0.15107286233969486</v>
      </c>
      <c r="X94" s="97">
        <f t="shared" si="104"/>
        <v>-8.1276660195420569E-2</v>
      </c>
      <c r="Y94" s="4">
        <v>535.44200346400009</v>
      </c>
      <c r="Z94" s="4">
        <f t="shared" si="95"/>
        <v>5373.0442678113332</v>
      </c>
      <c r="AA94" s="97">
        <f t="shared" si="123"/>
        <v>0.22708837211448141</v>
      </c>
      <c r="AB94" s="97">
        <f t="shared" si="105"/>
        <v>0.4628499533095638</v>
      </c>
      <c r="AC94" s="4">
        <v>105.496242326</v>
      </c>
      <c r="AD94" s="4">
        <f t="shared" si="70"/>
        <v>8.178669279095728E-2</v>
      </c>
      <c r="AE94" s="4">
        <v>56.798387264999995</v>
      </c>
      <c r="AF94" s="4">
        <f t="shared" si="71"/>
        <v>4.4033343253208061E-2</v>
      </c>
      <c r="AG94" s="4">
        <v>174.138878546</v>
      </c>
      <c r="AH94" s="4">
        <f t="shared" si="72"/>
        <v>36.742202874715296</v>
      </c>
      <c r="AI94" s="4">
        <v>128.97815725100003</v>
      </c>
      <c r="AJ94" s="4">
        <f t="shared" si="73"/>
        <v>18.549672006057708</v>
      </c>
      <c r="AK94" s="101">
        <f>SUMIFS($AJ$3:$AJ94,$D$3:$D94,D94)</f>
        <v>140.32924367821266</v>
      </c>
      <c r="AL94" s="4">
        <v>0</v>
      </c>
      <c r="AM94" s="4">
        <f t="shared" si="74"/>
        <v>0</v>
      </c>
      <c r="AN94" s="101">
        <f>SUMIFS($AM$3:$AM94,$D$3:$D94,D94)</f>
        <v>0</v>
      </c>
      <c r="AO94" s="4">
        <f t="shared" si="87"/>
        <v>45.160721294999973</v>
      </c>
      <c r="AP94" s="56">
        <v>1000.2794962620001</v>
      </c>
      <c r="AQ94" s="4">
        <f t="shared" si="75"/>
        <v>0.77547360988526304</v>
      </c>
      <c r="AR94" s="4">
        <f>SUMIFS($AP$3:$AP94,$D$3:$D94,D94)</f>
        <v>7434.1967087260009</v>
      </c>
      <c r="AS94" s="4">
        <f t="shared" si="96"/>
        <v>12337.701950045001</v>
      </c>
      <c r="AT94" s="97">
        <f t="shared" si="106"/>
        <v>9.666470660046822E-2</v>
      </c>
      <c r="AU94" s="97">
        <f t="shared" si="107"/>
        <v>9.2365922470443396E-2</v>
      </c>
      <c r="AV94" s="98">
        <f t="shared" si="118"/>
        <v>0.16006783670507385</v>
      </c>
      <c r="AW94" s="4">
        <v>520.10379078900007</v>
      </c>
      <c r="AX94" s="4">
        <f>SUMIFS($AW$3:$AW94,$D$3:$D94,D94)</f>
        <v>4128.4186575590002</v>
      </c>
      <c r="AY94" s="4">
        <f t="shared" si="97"/>
        <v>6550.2787983250018</v>
      </c>
      <c r="AZ94" s="97">
        <f t="shared" si="108"/>
        <v>8.1344987342825137E-2</v>
      </c>
      <c r="BA94" s="97">
        <f t="shared" si="109"/>
        <v>0.14753211735814054</v>
      </c>
      <c r="BB94" s="97">
        <f t="shared" si="124"/>
        <v>0.16408654406247281</v>
      </c>
      <c r="BC94" s="4">
        <v>364.76935802499997</v>
      </c>
      <c r="BD94" s="4">
        <f t="shared" si="88"/>
        <v>155.3344327640001</v>
      </c>
      <c r="BE94" s="4">
        <v>116.772879749</v>
      </c>
      <c r="BF94" s="4">
        <v>32.201730186999995</v>
      </c>
      <c r="BG94" s="4">
        <f t="shared" si="76"/>
        <v>4.6312611819532412</v>
      </c>
      <c r="BH94" s="4">
        <f>Datos1[[#This Row],[Intereses]]/Datos1[[#This Row],[PIB nominal (miles de millones de G.)]]*100</f>
        <v>2.496461443624693E-2</v>
      </c>
      <c r="BI94" s="4">
        <v>161.05838307299999</v>
      </c>
      <c r="BJ94" s="4">
        <v>147.83983014899999</v>
      </c>
      <c r="BK94" s="4">
        <v>22.302882314999998</v>
      </c>
      <c r="BL94" s="56">
        <f t="shared" si="77"/>
        <v>205.00264848300003</v>
      </c>
      <c r="BM94" s="56">
        <f>SUMIFS($BL$3:$BL94,$D$3:$D94,D94)</f>
        <v>2549.9876757880002</v>
      </c>
      <c r="BN94" s="56">
        <f t="shared" si="90"/>
        <v>2740.3346861339992</v>
      </c>
      <c r="BO94" s="100">
        <f t="shared" si="110"/>
        <v>0.20248755659341588</v>
      </c>
      <c r="BP94" s="100">
        <f t="shared" si="111"/>
        <v>0.28885663047804822</v>
      </c>
      <c r="BQ94" s="100">
        <f t="shared" si="119"/>
        <v>5.7751159103841765E-2</v>
      </c>
      <c r="BR94" s="2">
        <f t="shared" si="78"/>
        <v>0.15892972359148716</v>
      </c>
      <c r="BS94" s="2">
        <f>+Datos1[[#This Row],[RON acumulado 12 meses]]/Datos1[[#This Row],[PIB nominal (miles de millones de G.)]]*100</f>
        <v>2.1244634517566099</v>
      </c>
      <c r="BT94" s="56">
        <v>165.840449124</v>
      </c>
      <c r="BU94" s="56">
        <f>SUMIFS($BT$3:$BT94,$D$3:$D94,D94)</f>
        <v>979.54268233899984</v>
      </c>
      <c r="BV94" s="56">
        <f t="shared" si="98"/>
        <v>2183.9158282049998</v>
      </c>
      <c r="BW94" s="100">
        <f t="shared" si="112"/>
        <v>-7.813342272806012E-2</v>
      </c>
      <c r="BX94" s="100">
        <f t="shared" si="113"/>
        <v>0.12507495732842888</v>
      </c>
      <c r="BY94" s="100">
        <f t="shared" si="120"/>
        <v>0.50160841979449189</v>
      </c>
      <c r="BZ94" s="56">
        <f t="shared" si="79"/>
        <v>23.851216377675833</v>
      </c>
      <c r="CA94" s="56">
        <f>Datos1[[#This Row],[Adquisición Neta de Activos no Financieros]]/Datos1[[#This Row],[PIB nominal (miles de millones de G.)]]*100</f>
        <v>0.12856895720423375</v>
      </c>
      <c r="CB94" s="56">
        <f>+Datos1[[#This Row],[ANANF acumulado por año]]/Datos1[[#This Row],[PIB nominal (miles de millones de G.)]]*100</f>
        <v>0.75939725121702939</v>
      </c>
      <c r="CC94" s="56">
        <f>+Datos1[[#This Row],[ANANF acumulado 12 meses]]/Datos1[[#This Row],[PIB nominal (miles de millones de G.)]]*100</f>
        <v>1.6930958770148619</v>
      </c>
      <c r="CD94" s="4">
        <v>88.379591563000005</v>
      </c>
      <c r="CE94" s="4">
        <f t="shared" si="80"/>
        <v>12.710775765950745</v>
      </c>
      <c r="CF94" s="4">
        <f t="shared" si="81"/>
        <v>77.460857560999997</v>
      </c>
      <c r="CG94" s="4">
        <f t="shared" si="82"/>
        <v>11.140440611725088</v>
      </c>
      <c r="CH94" s="56">
        <f t="shared" si="83"/>
        <v>39.162199359000027</v>
      </c>
      <c r="CI94" s="56">
        <f>SUMIFS($CH$3:$CH94,$D$3:$D94,D94)</f>
        <v>1570.4449934490003</v>
      </c>
      <c r="CJ94" s="56">
        <f t="shared" si="91"/>
        <v>556.41885792899996</v>
      </c>
      <c r="CK94" s="56">
        <f>Datos1[[#This Row],[Resultado Fiscal (miles de millones de G.)]]*1000/$F$207</f>
        <v>5.6323176623742741</v>
      </c>
      <c r="CL94" s="56">
        <f t="shared" si="99"/>
        <v>80.02430436715008</v>
      </c>
      <c r="CM94" s="100">
        <f t="shared" si="114"/>
        <v>-5.159893607331214</v>
      </c>
      <c r="CN94" s="100">
        <f t="shared" si="115"/>
        <v>0.41757173897812749</v>
      </c>
      <c r="CO94" s="100">
        <f t="shared" si="121"/>
        <v>-0.51033835701306707</v>
      </c>
      <c r="CP94" s="4">
        <f t="shared" si="84"/>
        <v>3.036076638725339E-2</v>
      </c>
      <c r="CQ94" s="4">
        <f t="shared" si="92"/>
        <v>0.43136757474174858</v>
      </c>
      <c r="CR94" s="73">
        <v>568.924543632</v>
      </c>
      <c r="CS94" s="113">
        <f>SUM(Datos1[[#This Row],[FFPP]:[MTESS]])</f>
        <v>0</v>
      </c>
      <c r="CT94" s="113"/>
      <c r="CU94" s="113"/>
      <c r="CV94" s="113"/>
      <c r="CW94" s="113"/>
      <c r="CX94" s="113"/>
      <c r="CY94" s="113"/>
      <c r="CZ94" s="113"/>
    </row>
    <row r="95" spans="1:104">
      <c r="A95">
        <v>93</v>
      </c>
      <c r="B95" s="3">
        <v>40422</v>
      </c>
      <c r="C95" s="14" t="str">
        <f t="shared" si="66"/>
        <v>Septiembre</v>
      </c>
      <c r="D95" s="14">
        <f t="shared" si="85"/>
        <v>2010</v>
      </c>
      <c r="E95" s="15">
        <f t="shared" si="67"/>
        <v>128989.49538850183</v>
      </c>
      <c r="F95" s="15">
        <f t="shared" si="68"/>
        <v>4739.4784449855697</v>
      </c>
      <c r="G95" s="56">
        <v>1396.3915642619995</v>
      </c>
      <c r="H95" s="4">
        <f t="shared" si="86"/>
        <v>1.082562235053502</v>
      </c>
      <c r="I95" s="4">
        <f>SUMIFS($G$3:$G95,$D$3:$D95,D95)</f>
        <v>11380.575948775999</v>
      </c>
      <c r="J95" s="2">
        <f t="shared" si="93"/>
        <v>15287.336503621</v>
      </c>
      <c r="K95" s="95">
        <f t="shared" si="100"/>
        <v>0.14134788848983026</v>
      </c>
      <c r="L95" s="95">
        <f t="shared" si="101"/>
        <v>0.17631314244946328</v>
      </c>
      <c r="M95" s="95">
        <f t="shared" si="116"/>
        <v>0.14744202865649814</v>
      </c>
      <c r="N95" s="4">
        <v>1065.8060441059997</v>
      </c>
      <c r="O95" s="4">
        <f t="shared" si="69"/>
        <v>0.82627352010015387</v>
      </c>
      <c r="P95" s="4">
        <f>SUMIFS($N$3:$N95,$D$3:$D95,D95)</f>
        <v>8267.0486333779991</v>
      </c>
      <c r="Q95" s="4">
        <f t="shared" si="89"/>
        <v>10706.909153106</v>
      </c>
      <c r="R95" s="97">
        <f t="shared" si="102"/>
        <v>0.26513288590119477</v>
      </c>
      <c r="S95" s="97">
        <f t="shared" si="103"/>
        <v>0.22167773491649934</v>
      </c>
      <c r="T95" s="97">
        <f t="shared" si="117"/>
        <v>0.20787008273780616</v>
      </c>
      <c r="U95" s="4">
        <v>548.47128493200023</v>
      </c>
      <c r="V95" s="4">
        <f t="shared" si="94"/>
        <v>5158.2366349470003</v>
      </c>
      <c r="W95" s="97">
        <f t="shared" si="122"/>
        <v>0.13904598425152392</v>
      </c>
      <c r="X95" s="97">
        <f t="shared" si="104"/>
        <v>0.1432258414255978</v>
      </c>
      <c r="Y95" s="4">
        <v>516.992543802</v>
      </c>
      <c r="Z95" s="4">
        <f t="shared" si="95"/>
        <v>5522.6435235839999</v>
      </c>
      <c r="AA95" s="97">
        <f t="shared" si="123"/>
        <v>0.28751300551693793</v>
      </c>
      <c r="AB95" s="97">
        <f t="shared" si="105"/>
        <v>0.40719104198964673</v>
      </c>
      <c r="AC95" s="4">
        <v>71.411874333</v>
      </c>
      <c r="AD95" s="4">
        <f t="shared" si="70"/>
        <v>5.536255035180615E-2</v>
      </c>
      <c r="AE95" s="4">
        <v>64.825457905999997</v>
      </c>
      <c r="AF95" s="4">
        <f t="shared" si="71"/>
        <v>5.0256385382974805E-2</v>
      </c>
      <c r="AG95" s="4">
        <v>194.34818791699999</v>
      </c>
      <c r="AH95" s="4">
        <f t="shared" si="72"/>
        <v>41.006239436033923</v>
      </c>
      <c r="AI95" s="4">
        <v>133.56201015399998</v>
      </c>
      <c r="AJ95" s="4">
        <f t="shared" si="73"/>
        <v>19.20892291866916</v>
      </c>
      <c r="AK95" s="101">
        <f>SUMIFS($AJ$3:$AJ95,$D$3:$D95,D95)</f>
        <v>159.53816659688181</v>
      </c>
      <c r="AL95" s="4">
        <v>0</v>
      </c>
      <c r="AM95" s="4">
        <f t="shared" si="74"/>
        <v>0</v>
      </c>
      <c r="AN95" s="101">
        <f>SUMIFS($AM$3:$AM95,$D$3:$D95,D95)</f>
        <v>0</v>
      </c>
      <c r="AO95" s="4">
        <f t="shared" si="87"/>
        <v>60.786177763000012</v>
      </c>
      <c r="AP95" s="56">
        <v>999.63427546599985</v>
      </c>
      <c r="AQ95" s="4">
        <f t="shared" si="75"/>
        <v>0.77497339799276987</v>
      </c>
      <c r="AR95" s="4">
        <f>SUMIFS($AP$3:$AP95,$D$3:$D95,D95)</f>
        <v>8433.830984192</v>
      </c>
      <c r="AS95" s="4">
        <f t="shared" si="96"/>
        <v>12397.198382347</v>
      </c>
      <c r="AT95" s="97">
        <f t="shared" si="106"/>
        <v>6.3284796729133452E-2</v>
      </c>
      <c r="AU95" s="97">
        <f t="shared" si="107"/>
        <v>8.8836201240175328E-2</v>
      </c>
      <c r="AV95" s="98">
        <f t="shared" si="118"/>
        <v>0.14874788613389578</v>
      </c>
      <c r="AW95" s="4">
        <v>528.77068899400001</v>
      </c>
      <c r="AX95" s="4">
        <f>SUMIFS($AW$3:$AW95,$D$3:$D95,D95)</f>
        <v>4657.1893465530002</v>
      </c>
      <c r="AY95" s="4">
        <f t="shared" si="97"/>
        <v>6594.1901256780002</v>
      </c>
      <c r="AZ95" s="97">
        <f t="shared" si="108"/>
        <v>9.056508098427285E-2</v>
      </c>
      <c r="BA95" s="97">
        <f t="shared" si="109"/>
        <v>0.14076642498532554</v>
      </c>
      <c r="BB95" s="97">
        <f t="shared" si="124"/>
        <v>0.15514186514811401</v>
      </c>
      <c r="BC95" s="4">
        <v>359.92303583099999</v>
      </c>
      <c r="BD95" s="4">
        <f t="shared" si="88"/>
        <v>168.84765316300002</v>
      </c>
      <c r="BE95" s="4">
        <v>112.44248537499999</v>
      </c>
      <c r="BF95" s="4">
        <v>34.039806681000002</v>
      </c>
      <c r="BG95" s="4">
        <f t="shared" si="76"/>
        <v>4.8956138197366448</v>
      </c>
      <c r="BH95" s="4">
        <f>Datos1[[#This Row],[Intereses]]/Datos1[[#This Row],[PIB nominal (miles de millones de G.)]]*100</f>
        <v>2.6389595973281339E-2</v>
      </c>
      <c r="BI95" s="4">
        <v>134.73444554</v>
      </c>
      <c r="BJ95" s="4">
        <v>137.98863823199997</v>
      </c>
      <c r="BK95" s="4">
        <v>51.658210644</v>
      </c>
      <c r="BL95" s="56">
        <f t="shared" si="77"/>
        <v>396.75728879599967</v>
      </c>
      <c r="BM95" s="56">
        <f>SUMIFS($BL$3:$BL95,$D$3:$D95,D95)</f>
        <v>2946.7449645839997</v>
      </c>
      <c r="BN95" s="56">
        <f t="shared" si="90"/>
        <v>2890.1381212739993</v>
      </c>
      <c r="BO95" s="100">
        <f t="shared" si="110"/>
        <v>0.60660497061395113</v>
      </c>
      <c r="BP95" s="100">
        <f t="shared" si="111"/>
        <v>0.32411667054139071</v>
      </c>
      <c r="BQ95" s="100">
        <f t="shared" si="119"/>
        <v>0.14187409275372298</v>
      </c>
      <c r="BR95" s="2">
        <f t="shared" si="78"/>
        <v>0.30758883706073226</v>
      </c>
      <c r="BS95" s="2">
        <f>+Datos1[[#This Row],[RON acumulado 12 meses]]/Datos1[[#This Row],[PIB nominal (miles de millones de G.)]]*100</f>
        <v>2.2405996027577508</v>
      </c>
      <c r="BT95" s="56">
        <v>192.467079993</v>
      </c>
      <c r="BU95" s="56">
        <f>SUMIFS($BT$3:$BT95,$D$3:$D95,D95)</f>
        <v>1172.0097623319998</v>
      </c>
      <c r="BV95" s="56">
        <f t="shared" si="98"/>
        <v>2099.9563204020001</v>
      </c>
      <c r="BW95" s="100">
        <f t="shared" si="112"/>
        <v>-0.30373166514995742</v>
      </c>
      <c r="BX95" s="100">
        <f t="shared" si="113"/>
        <v>2.1739308736074214E-2</v>
      </c>
      <c r="BY95" s="100">
        <f t="shared" si="120"/>
        <v>0.25172633134874389</v>
      </c>
      <c r="BZ95" s="56">
        <f t="shared" si="79"/>
        <v>27.680665330688313</v>
      </c>
      <c r="CA95" s="56">
        <f>Datos1[[#This Row],[Adquisición Neta de Activos no Financieros]]/Datos1[[#This Row],[PIB nominal (miles de millones de G.)]]*100</f>
        <v>0.14921143726728353</v>
      </c>
      <c r="CB95" s="56">
        <f>+Datos1[[#This Row],[ANANF acumulado por año]]/Datos1[[#This Row],[PIB nominal (miles de millones de G.)]]*100</f>
        <v>0.90860868848431298</v>
      </c>
      <c r="CC95" s="56">
        <f>+Datos1[[#This Row],[ANANF acumulado 12 meses]]/Datos1[[#This Row],[PIB nominal (miles de millones de G.)]]*100</f>
        <v>1.6280056868795154</v>
      </c>
      <c r="CD95" s="4">
        <v>125.43722925900001</v>
      </c>
      <c r="CE95" s="4">
        <f t="shared" si="80"/>
        <v>18.040414824464971</v>
      </c>
      <c r="CF95" s="4">
        <f t="shared" si="81"/>
        <v>67.029850733999993</v>
      </c>
      <c r="CG95" s="4">
        <f t="shared" si="82"/>
        <v>9.6402505062233388</v>
      </c>
      <c r="CH95" s="56">
        <f t="shared" si="83"/>
        <v>204.29020880299967</v>
      </c>
      <c r="CI95" s="56">
        <f>SUMIFS($CH$3:$CH95,$D$3:$D95,D95)</f>
        <v>1774.7352022519999</v>
      </c>
      <c r="CJ95" s="56">
        <f t="shared" si="91"/>
        <v>790.18180087199971</v>
      </c>
      <c r="CK95" s="56">
        <f>Datos1[[#This Row],[Resultado Fiscal (miles de millones de G.)]]*1000/$F$207</f>
        <v>29.381070780613168</v>
      </c>
      <c r="CL95" s="56">
        <f t="shared" si="99"/>
        <v>113.64415141090065</v>
      </c>
      <c r="CM95" s="100">
        <f t="shared" si="114"/>
        <v>-7.9314983751622465</v>
      </c>
      <c r="CN95" s="100">
        <f t="shared" si="115"/>
        <v>0.64575888674184023</v>
      </c>
      <c r="CO95" s="100">
        <f t="shared" si="121"/>
        <v>-7.4077898307401635E-2</v>
      </c>
      <c r="CP95" s="4">
        <f t="shared" si="84"/>
        <v>0.15837739979344873</v>
      </c>
      <c r="CQ95" s="4">
        <f t="shared" si="92"/>
        <v>0.61259391587823575</v>
      </c>
      <c r="CR95" s="73">
        <v>556.990090345</v>
      </c>
      <c r="CS95" s="113">
        <f>SUM(Datos1[[#This Row],[FFPP]:[MTESS]])</f>
        <v>0</v>
      </c>
      <c r="CT95" s="113"/>
      <c r="CU95" s="113"/>
      <c r="CV95" s="113"/>
      <c r="CW95" s="113"/>
      <c r="CX95" s="113"/>
      <c r="CY95" s="113"/>
      <c r="CZ95" s="113"/>
    </row>
    <row r="96" spans="1:104">
      <c r="A96">
        <v>94</v>
      </c>
      <c r="B96" s="3">
        <v>40452</v>
      </c>
      <c r="C96" s="14" t="str">
        <f t="shared" si="66"/>
        <v>Octubre</v>
      </c>
      <c r="D96" s="14">
        <f t="shared" si="85"/>
        <v>2010</v>
      </c>
      <c r="E96" s="15">
        <f t="shared" si="67"/>
        <v>128989.49538850183</v>
      </c>
      <c r="F96" s="15">
        <f t="shared" si="68"/>
        <v>4739.4784449855697</v>
      </c>
      <c r="G96" s="56">
        <v>1404.4151720910002</v>
      </c>
      <c r="H96" s="4">
        <f t="shared" si="86"/>
        <v>1.0887825926142745</v>
      </c>
      <c r="I96" s="4">
        <f>SUMIFS($G$3:$G96,$D$3:$D96,D96)</f>
        <v>12784.991120866998</v>
      </c>
      <c r="J96" s="2">
        <f t="shared" si="93"/>
        <v>15585.360214175998</v>
      </c>
      <c r="K96" s="95">
        <f t="shared" si="100"/>
        <v>0.15413387846848159</v>
      </c>
      <c r="L96" s="95">
        <f t="shared" si="101"/>
        <v>0.26936551927222463</v>
      </c>
      <c r="M96" s="95">
        <f t="shared" si="116"/>
        <v>0.1596698202795872</v>
      </c>
      <c r="N96" s="4">
        <v>965.12296362400014</v>
      </c>
      <c r="O96" s="4">
        <f t="shared" si="69"/>
        <v>0.74821826437661332</v>
      </c>
      <c r="P96" s="4">
        <f>SUMIFS($N$3:$N96,$D$3:$D96,D96)</f>
        <v>9232.1715970019995</v>
      </c>
      <c r="Q96" s="4">
        <f t="shared" si="89"/>
        <v>10953.281823453</v>
      </c>
      <c r="R96" s="97">
        <f t="shared" si="102"/>
        <v>0.34277922757250323</v>
      </c>
      <c r="S96" s="97">
        <f t="shared" si="103"/>
        <v>0.23330544816315824</v>
      </c>
      <c r="T96" s="97">
        <f t="shared" si="117"/>
        <v>0.23187654843484484</v>
      </c>
      <c r="U96" s="4">
        <v>347.37048033499991</v>
      </c>
      <c r="V96" s="4">
        <f t="shared" si="94"/>
        <v>5217.2602671210007</v>
      </c>
      <c r="W96" s="97">
        <f t="shared" si="122"/>
        <v>0.1386556256308531</v>
      </c>
      <c r="X96" s="97">
        <f t="shared" si="104"/>
        <v>0.20469664416461297</v>
      </c>
      <c r="Y96" s="4">
        <v>622.84633162000011</v>
      </c>
      <c r="Z96" s="4">
        <f t="shared" si="95"/>
        <v>5725.6573439326667</v>
      </c>
      <c r="AA96" s="97">
        <f t="shared" si="123"/>
        <v>0.34466432079672238</v>
      </c>
      <c r="AB96" s="97">
        <f t="shared" si="105"/>
        <v>0.48355907391236075</v>
      </c>
      <c r="AC96" s="4">
        <v>106.81847505799999</v>
      </c>
      <c r="AD96" s="4">
        <f t="shared" si="70"/>
        <v>8.2811762877492298E-2</v>
      </c>
      <c r="AE96" s="4">
        <v>135.95505471299998</v>
      </c>
      <c r="AF96" s="4">
        <f t="shared" si="71"/>
        <v>0.1054000981269976</v>
      </c>
      <c r="AG96" s="4">
        <v>196.51867869599999</v>
      </c>
      <c r="AH96" s="4">
        <f t="shared" si="72"/>
        <v>41.464199273639345</v>
      </c>
      <c r="AI96" s="4">
        <v>134.12176689399999</v>
      </c>
      <c r="AJ96" s="4">
        <f t="shared" si="73"/>
        <v>19.289427278100916</v>
      </c>
      <c r="AK96" s="101">
        <f>SUMIFS($AJ$3:$AJ96,$D$3:$D96,D96)</f>
        <v>178.82759387498271</v>
      </c>
      <c r="AL96" s="4">
        <v>0</v>
      </c>
      <c r="AM96" s="4">
        <f t="shared" si="74"/>
        <v>0</v>
      </c>
      <c r="AN96" s="101">
        <f>SUMIFS($AM$3:$AM96,$D$3:$D96,D96)</f>
        <v>0</v>
      </c>
      <c r="AO96" s="4">
        <f t="shared" si="87"/>
        <v>62.396911802000005</v>
      </c>
      <c r="AP96" s="56">
        <v>997.7368778719997</v>
      </c>
      <c r="AQ96" s="4">
        <f t="shared" si="75"/>
        <v>0.77350242736195574</v>
      </c>
      <c r="AR96" s="4">
        <f>SUMIFS($AP$3:$AP96,$D$3:$D96,D96)</f>
        <v>9431.5678620639992</v>
      </c>
      <c r="AS96" s="4">
        <f t="shared" si="96"/>
        <v>12379.078297819999</v>
      </c>
      <c r="AT96" s="97">
        <f t="shared" si="106"/>
        <v>-1.7837240081722494E-2</v>
      </c>
      <c r="AU96" s="97">
        <f t="shared" si="107"/>
        <v>7.6468012541469399E-2</v>
      </c>
      <c r="AV96" s="98">
        <f t="shared" si="118"/>
        <v>0.12169425105755405</v>
      </c>
      <c r="AW96" s="4">
        <v>533.41336676999981</v>
      </c>
      <c r="AX96" s="4">
        <f>SUMIFS($AW$3:$AW96,$D$3:$D96,D96)</f>
        <v>5190.602713323</v>
      </c>
      <c r="AY96" s="4">
        <f t="shared" si="97"/>
        <v>6652.6043292780005</v>
      </c>
      <c r="AZ96" s="97">
        <f t="shared" si="108"/>
        <v>0.12297748739210634</v>
      </c>
      <c r="BA96" s="97">
        <f t="shared" si="109"/>
        <v>0.13891240082898393</v>
      </c>
      <c r="BB96" s="97">
        <f t="shared" si="124"/>
        <v>0.15258399957948598</v>
      </c>
      <c r="BC96" s="4">
        <v>371.31690837000002</v>
      </c>
      <c r="BD96" s="4">
        <f t="shared" si="88"/>
        <v>162.09645839999979</v>
      </c>
      <c r="BE96" s="4">
        <v>135.27421596900001</v>
      </c>
      <c r="BF96" s="4">
        <v>45.437904380999996</v>
      </c>
      <c r="BG96" s="4">
        <f t="shared" si="76"/>
        <v>6.5348911852563125</v>
      </c>
      <c r="BH96" s="4">
        <f>Datos1[[#This Row],[Intereses]]/Datos1[[#This Row],[PIB nominal (miles de millones de G.)]]*100</f>
        <v>3.522605018660329E-2</v>
      </c>
      <c r="BI96" s="4">
        <v>88.925830262000019</v>
      </c>
      <c r="BJ96" s="4">
        <v>125.011244639</v>
      </c>
      <c r="BK96" s="4">
        <v>69.674315851000003</v>
      </c>
      <c r="BL96" s="56">
        <f t="shared" si="77"/>
        <v>406.67829421900046</v>
      </c>
      <c r="BM96" s="56">
        <f>SUMIFS($BL$3:$BL96,$D$3:$D96,D96)</f>
        <v>3353.423258803</v>
      </c>
      <c r="BN96" s="56">
        <f t="shared" si="90"/>
        <v>3206.2819163559998</v>
      </c>
      <c r="BO96" s="100">
        <f t="shared" si="110"/>
        <v>3.4919704432627494</v>
      </c>
      <c r="BP96" s="100">
        <f t="shared" si="111"/>
        <v>0.447952143045381</v>
      </c>
      <c r="BQ96" s="100">
        <f t="shared" si="119"/>
        <v>0.33404602252010718</v>
      </c>
      <c r="BR96" s="2">
        <f t="shared" si="78"/>
        <v>0.31528016525231861</v>
      </c>
      <c r="BS96" s="2">
        <f>+Datos1[[#This Row],[RON acumulado 12 meses]]/Datos1[[#This Row],[PIB nominal (miles de millones de G.)]]*100</f>
        <v>2.4856922702883981</v>
      </c>
      <c r="BT96" s="56">
        <v>202.73093912600004</v>
      </c>
      <c r="BU96" s="56">
        <f>SUMIFS($BT$3:$BT96,$D$3:$D96,D96)</f>
        <v>1374.7407014579999</v>
      </c>
      <c r="BV96" s="56">
        <f t="shared" si="98"/>
        <v>2080.0167182659998</v>
      </c>
      <c r="BW96" s="100">
        <f t="shared" si="112"/>
        <v>-8.9547553183240813E-2</v>
      </c>
      <c r="BX96" s="100">
        <f t="shared" si="113"/>
        <v>3.6481101289072004E-3</v>
      </c>
      <c r="BY96" s="100">
        <f t="shared" si="120"/>
        <v>0.14638316858926936</v>
      </c>
      <c r="BZ96" s="56">
        <f t="shared" si="79"/>
        <v>29.156816211515498</v>
      </c>
      <c r="CA96" s="56">
        <f>Datos1[[#This Row],[Adquisición Neta de Activos no Financieros]]/Datos1[[#This Row],[PIB nominal (miles de millones de G.)]]*100</f>
        <v>0.15716856517299901</v>
      </c>
      <c r="CB96" s="56">
        <f>+Datos1[[#This Row],[ANANF acumulado por año]]/Datos1[[#This Row],[PIB nominal (miles de millones de G.)]]*100</f>
        <v>1.0657772536573118</v>
      </c>
      <c r="CC96" s="56">
        <f>+Datos1[[#This Row],[ANANF acumulado 12 meses]]/Datos1[[#This Row],[PIB nominal (miles de millones de G.)]]*100</f>
        <v>1.6125473721726129</v>
      </c>
      <c r="CD96" s="4">
        <v>94.866845462999976</v>
      </c>
      <c r="CE96" s="4">
        <f t="shared" si="80"/>
        <v>13.643774303298702</v>
      </c>
      <c r="CF96" s="4">
        <f t="shared" si="81"/>
        <v>107.86409366300006</v>
      </c>
      <c r="CG96" s="4">
        <f t="shared" si="82"/>
        <v>15.513041908216794</v>
      </c>
      <c r="CH96" s="56">
        <f t="shared" si="83"/>
        <v>203.94735509300043</v>
      </c>
      <c r="CI96" s="56">
        <f>SUMIFS($CH$3:$CH96,$D$3:$D96,D96)</f>
        <v>1978.6825573450003</v>
      </c>
      <c r="CJ96" s="56">
        <f t="shared" si="91"/>
        <v>1126.2651980900002</v>
      </c>
      <c r="CK96" s="56">
        <f>Datos1[[#This Row],[Resultado Fiscal (miles de millones de G.)]]*1000/$F$207</f>
        <v>29.331761471175838</v>
      </c>
      <c r="CL96" s="56">
        <f t="shared" si="99"/>
        <v>161.97975270921413</v>
      </c>
      <c r="CM96" s="100">
        <f t="shared" si="114"/>
        <v>-2.5434649911798264</v>
      </c>
      <c r="CN96" s="100">
        <f t="shared" si="115"/>
        <v>1.091115879642913</v>
      </c>
      <c r="CO96" s="100">
        <f t="shared" si="121"/>
        <v>0.91213221265518629</v>
      </c>
      <c r="CP96" s="4">
        <f t="shared" si="84"/>
        <v>0.1581116000793196</v>
      </c>
      <c r="CQ96" s="4">
        <f t="shared" si="92"/>
        <v>0.87314489811578555</v>
      </c>
      <c r="CR96" s="73">
        <v>556.33498734099999</v>
      </c>
      <c r="CS96" s="113">
        <f>SUM(Datos1[[#This Row],[FFPP]:[MTESS]])</f>
        <v>0</v>
      </c>
      <c r="CT96" s="113"/>
      <c r="CU96" s="113"/>
      <c r="CV96" s="113"/>
      <c r="CW96" s="113"/>
      <c r="CX96" s="113"/>
      <c r="CY96" s="113"/>
      <c r="CZ96" s="113"/>
    </row>
    <row r="97" spans="1:104">
      <c r="A97">
        <v>95</v>
      </c>
      <c r="B97" s="3">
        <v>40483</v>
      </c>
      <c r="C97" s="14" t="str">
        <f t="shared" si="66"/>
        <v>Noviembre</v>
      </c>
      <c r="D97" s="14">
        <f t="shared" si="85"/>
        <v>2010</v>
      </c>
      <c r="E97" s="15">
        <f t="shared" si="67"/>
        <v>128989.49538850183</v>
      </c>
      <c r="F97" s="15">
        <f t="shared" si="68"/>
        <v>4739.4784449855697</v>
      </c>
      <c r="G97" s="56">
        <v>1650.383432765</v>
      </c>
      <c r="H97" s="4">
        <f t="shared" si="86"/>
        <v>1.2794711908859173</v>
      </c>
      <c r="I97" s="4">
        <f>SUMIFS($G$3:$G97,$D$3:$D97,D97)</f>
        <v>14435.374553631998</v>
      </c>
      <c r="J97" s="2">
        <f t="shared" si="93"/>
        <v>15869.392135691</v>
      </c>
      <c r="K97" s="95">
        <f t="shared" si="100"/>
        <v>0.16003482400840263</v>
      </c>
      <c r="L97" s="95">
        <f t="shared" si="101"/>
        <v>0.20787617181698348</v>
      </c>
      <c r="M97" s="95">
        <f t="shared" si="116"/>
        <v>0.16711954620250391</v>
      </c>
      <c r="N97" s="4">
        <v>1127.6291721819998</v>
      </c>
      <c r="O97" s="4">
        <f t="shared" si="69"/>
        <v>0.87420232848086399</v>
      </c>
      <c r="P97" s="4">
        <f>SUMIFS($N$3:$N97,$D$3:$D97,D97)</f>
        <v>10359.800769183999</v>
      </c>
      <c r="Q97" s="4">
        <f t="shared" si="89"/>
        <v>11152.220224066998</v>
      </c>
      <c r="R97" s="97">
        <f t="shared" si="102"/>
        <v>0.2142138230555608</v>
      </c>
      <c r="S97" s="97">
        <f t="shared" si="103"/>
        <v>0.23119832151764541</v>
      </c>
      <c r="T97" s="97">
        <f t="shared" si="117"/>
        <v>0.23091137525016259</v>
      </c>
      <c r="U97" s="4">
        <v>541.50090946</v>
      </c>
      <c r="V97" s="4">
        <f t="shared" si="94"/>
        <v>5267.4308669250004</v>
      </c>
      <c r="W97" s="97">
        <f t="shared" si="122"/>
        <v>0.12071857389958485</v>
      </c>
      <c r="X97" s="97">
        <f t="shared" si="104"/>
        <v>0.10211175418656016</v>
      </c>
      <c r="Y97" s="4">
        <v>583.039826113</v>
      </c>
      <c r="Z97" s="4">
        <f t="shared" si="95"/>
        <v>5875.5843205403344</v>
      </c>
      <c r="AA97" s="97">
        <f t="shared" si="123"/>
        <v>0.36634231943812279</v>
      </c>
      <c r="AB97" s="97">
        <f t="shared" si="105"/>
        <v>0.34616146064218856</v>
      </c>
      <c r="AC97" s="4">
        <v>82.158936275999991</v>
      </c>
      <c r="AD97" s="4">
        <f t="shared" si="70"/>
        <v>6.3694284583831057E-2</v>
      </c>
      <c r="AE97" s="4">
        <v>115.34578884999999</v>
      </c>
      <c r="AF97" s="4">
        <f t="shared" si="71"/>
        <v>8.9422621975992281E-2</v>
      </c>
      <c r="AG97" s="4">
        <v>325.24953545700004</v>
      </c>
      <c r="AH97" s="4">
        <f t="shared" si="72"/>
        <v>68.625596514974831</v>
      </c>
      <c r="AI97" s="4">
        <v>65.217052334000002</v>
      </c>
      <c r="AJ97" s="4">
        <f t="shared" si="73"/>
        <v>9.3795333704709183</v>
      </c>
      <c r="AK97" s="101">
        <f>SUMIFS($AJ$3:$AJ97,$D$3:$D97,D97)</f>
        <v>188.20712724545362</v>
      </c>
      <c r="AL97" s="4">
        <v>0</v>
      </c>
      <c r="AM97" s="4">
        <f t="shared" si="74"/>
        <v>0</v>
      </c>
      <c r="AN97" s="101">
        <f>SUMIFS($AM$3:$AM97,$D$3:$D97,D97)</f>
        <v>0</v>
      </c>
      <c r="AO97" s="4">
        <f t="shared" si="87"/>
        <v>260.03248312300002</v>
      </c>
      <c r="AP97" s="56">
        <v>1183.2364822680001</v>
      </c>
      <c r="AQ97" s="4">
        <f t="shared" si="75"/>
        <v>0.91731228089870809</v>
      </c>
      <c r="AR97" s="4">
        <f>SUMIFS($AP$3:$AP97,$D$3:$D97,D97)</f>
        <v>10614.804344331998</v>
      </c>
      <c r="AS97" s="4">
        <f t="shared" si="96"/>
        <v>12601.501070804999</v>
      </c>
      <c r="AT97" s="97">
        <f t="shared" si="106"/>
        <v>0.23149417086375812</v>
      </c>
      <c r="AU97" s="97">
        <f t="shared" si="107"/>
        <v>9.1788432537364573E-2</v>
      </c>
      <c r="AV97" s="98">
        <f t="shared" si="118"/>
        <v>0.12766494719855515</v>
      </c>
      <c r="AW97" s="4">
        <v>560.48530524100011</v>
      </c>
      <c r="AX97" s="4">
        <f>SUMIFS($AW$3:$AW97,$D$3:$D97,D97)</f>
        <v>5751.0880185639999</v>
      </c>
      <c r="AY97" s="4">
        <f t="shared" si="97"/>
        <v>6730.6173261820004</v>
      </c>
      <c r="AZ97" s="97">
        <f t="shared" si="108"/>
        <v>0.16169424764065221</v>
      </c>
      <c r="BA97" s="97">
        <f t="shared" si="109"/>
        <v>0.14109328426602197</v>
      </c>
      <c r="BB97" s="97">
        <f t="shared" si="124"/>
        <v>0.15495891940958173</v>
      </c>
      <c r="BC97" s="4">
        <v>386.64022232100001</v>
      </c>
      <c r="BD97" s="4">
        <f t="shared" si="88"/>
        <v>173.8450829200001</v>
      </c>
      <c r="BE97" s="4">
        <v>186.56274345200001</v>
      </c>
      <c r="BF97" s="4">
        <v>33.459528829</v>
      </c>
      <c r="BG97" s="4">
        <f t="shared" si="76"/>
        <v>4.8121581086581218</v>
      </c>
      <c r="BH97" s="4">
        <f>Datos1[[#This Row],[Intereses]]/Datos1[[#This Row],[PIB nominal (miles de millones de G.)]]*100</f>
        <v>2.5939731548079683E-2</v>
      </c>
      <c r="BI97" s="4">
        <v>236.24056869600003</v>
      </c>
      <c r="BJ97" s="4">
        <v>140.454348103</v>
      </c>
      <c r="BK97" s="4">
        <v>26.033987947</v>
      </c>
      <c r="BL97" s="56">
        <f t="shared" si="77"/>
        <v>467.14695049699981</v>
      </c>
      <c r="BM97" s="56">
        <f>SUMIFS($BL$3:$BL97,$D$3:$D97,D97)</f>
        <v>3820.5702093</v>
      </c>
      <c r="BN97" s="56">
        <f t="shared" si="90"/>
        <v>3267.8910648860001</v>
      </c>
      <c r="BO97" s="100">
        <f t="shared" si="110"/>
        <v>0.15191961940705423</v>
      </c>
      <c r="BP97" s="100">
        <f t="shared" si="111"/>
        <v>0.40383979899789479</v>
      </c>
      <c r="BQ97" s="100">
        <f t="shared" si="119"/>
        <v>0.34914440332201768</v>
      </c>
      <c r="BR97" s="2">
        <f t="shared" si="78"/>
        <v>0.36215890998720923</v>
      </c>
      <c r="BS97" s="2">
        <f>+Datos1[[#This Row],[RON acumulado 12 meses]]/Datos1[[#This Row],[PIB nominal (miles de millones de G.)]]*100</f>
        <v>2.5334551895435209</v>
      </c>
      <c r="BT97" s="56">
        <v>283.63779865899994</v>
      </c>
      <c r="BU97" s="56">
        <f>SUMIFS($BT$3:$BT97,$D$3:$D97,D97)</f>
        <v>1658.3785001169999</v>
      </c>
      <c r="BV97" s="56">
        <f t="shared" si="98"/>
        <v>2142.670211011</v>
      </c>
      <c r="BW97" s="100">
        <f t="shared" si="112"/>
        <v>0.28352010105813896</v>
      </c>
      <c r="BX97" s="100">
        <f t="shared" si="113"/>
        <v>4.2527991817625788E-2</v>
      </c>
      <c r="BY97" s="100">
        <f t="shared" si="120"/>
        <v>0.14329516215015059</v>
      </c>
      <c r="BZ97" s="56">
        <f t="shared" si="79"/>
        <v>40.792861720032761</v>
      </c>
      <c r="CA97" s="56">
        <f>Datos1[[#This Row],[Adquisición Neta de Activos no Financieros]]/Datos1[[#This Row],[PIB nominal (miles de millones de G.)]]*100</f>
        <v>0.21989216858684096</v>
      </c>
      <c r="CB97" s="56">
        <f>+Datos1[[#This Row],[ANANF acumulado por año]]/Datos1[[#This Row],[PIB nominal (miles de millones de G.)]]*100</f>
        <v>1.2856694222441531</v>
      </c>
      <c r="CC97" s="56">
        <f>+Datos1[[#This Row],[ANANF acumulado 12 meses]]/Datos1[[#This Row],[PIB nominal (miles de millones de G.)]]*100</f>
        <v>1.6611199265161234</v>
      </c>
      <c r="CD97" s="4">
        <v>119.05245963100002</v>
      </c>
      <c r="CE97" s="4">
        <f t="shared" si="80"/>
        <v>17.122155601679246</v>
      </c>
      <c r="CF97" s="4">
        <f t="shared" si="81"/>
        <v>164.58533902799991</v>
      </c>
      <c r="CG97" s="4">
        <f t="shared" si="82"/>
        <v>23.670706118353507</v>
      </c>
      <c r="CH97" s="56">
        <f t="shared" si="83"/>
        <v>183.50915183799987</v>
      </c>
      <c r="CI97" s="56">
        <f>SUMIFS($CH$3:$CH97,$D$3:$D97,D97)</f>
        <v>2162.1917091830001</v>
      </c>
      <c r="CJ97" s="56">
        <f t="shared" si="91"/>
        <v>1125.2208538750001</v>
      </c>
      <c r="CK97" s="56">
        <f>Datos1[[#This Row],[Resultado Fiscal (miles de millones de G.)]]*1000/$F$207</f>
        <v>26.392333781605078</v>
      </c>
      <c r="CL97" s="56">
        <f t="shared" si="99"/>
        <v>161.82955485352625</v>
      </c>
      <c r="CM97" s="100">
        <f t="shared" si="114"/>
        <v>-5.6587614829040067E-3</v>
      </c>
      <c r="CN97" s="100">
        <f t="shared" si="115"/>
        <v>0.91211337090795341</v>
      </c>
      <c r="CO97" s="100">
        <f t="shared" si="121"/>
        <v>1.053034146017521</v>
      </c>
      <c r="CP97" s="4">
        <f t="shared" si="84"/>
        <v>0.14226674140036827</v>
      </c>
      <c r="CQ97" s="4">
        <f t="shared" si="92"/>
        <v>0.87233526302739739</v>
      </c>
      <c r="CR97" s="73">
        <v>589.68768868500001</v>
      </c>
      <c r="CS97" s="113">
        <f>SUM(Datos1[[#This Row],[FFPP]:[MTESS]])</f>
        <v>0</v>
      </c>
      <c r="CT97" s="113"/>
      <c r="CU97" s="113"/>
      <c r="CV97" s="113"/>
      <c r="CW97" s="113"/>
      <c r="CX97" s="113"/>
      <c r="CY97" s="113"/>
      <c r="CZ97" s="113"/>
    </row>
    <row r="98" spans="1:104">
      <c r="A98">
        <v>96</v>
      </c>
      <c r="B98" s="3">
        <v>40513</v>
      </c>
      <c r="C98" s="14" t="str">
        <f t="shared" si="66"/>
        <v>Diciembre</v>
      </c>
      <c r="D98" s="14">
        <f t="shared" si="85"/>
        <v>2010</v>
      </c>
      <c r="E98" s="15">
        <f t="shared" si="67"/>
        <v>128989.49538850183</v>
      </c>
      <c r="F98" s="15">
        <f t="shared" si="68"/>
        <v>4739.4784449855697</v>
      </c>
      <c r="G98" s="56">
        <v>1806.7679813609998</v>
      </c>
      <c r="H98" s="4">
        <f t="shared" si="86"/>
        <v>1.4007093956908803</v>
      </c>
      <c r="I98" s="4">
        <f>SUMIFS($G$3:$G98,$D$3:$D98,D98)</f>
        <v>16242.142534992998</v>
      </c>
      <c r="J98" s="2">
        <f t="shared" si="93"/>
        <v>16242.142534992998</v>
      </c>
      <c r="K98" s="95">
        <f t="shared" si="100"/>
        <v>0.17035751788271525</v>
      </c>
      <c r="L98" s="95">
        <f t="shared" si="101"/>
        <v>0.25993432993115406</v>
      </c>
      <c r="M98" s="95">
        <f t="shared" si="116"/>
        <v>0.17035751788271525</v>
      </c>
      <c r="N98" s="4">
        <v>1045.7266441429999</v>
      </c>
      <c r="O98" s="4">
        <f t="shared" si="69"/>
        <v>0.81070682615928447</v>
      </c>
      <c r="P98" s="4">
        <f>SUMIFS($N$3:$N98,$D$3:$D98,D98)</f>
        <v>11405.527413327</v>
      </c>
      <c r="Q98" s="4">
        <f t="shared" si="89"/>
        <v>11405.527413327</v>
      </c>
      <c r="R98" s="97">
        <f t="shared" si="102"/>
        <v>0.3196630114254333</v>
      </c>
      <c r="S98" s="97">
        <f t="shared" si="103"/>
        <v>0.23881236315133569</v>
      </c>
      <c r="T98" s="97">
        <f t="shared" si="117"/>
        <v>0.23881236315133569</v>
      </c>
      <c r="U98" s="4">
        <v>357.36615186500001</v>
      </c>
      <c r="V98" s="4">
        <f t="shared" si="94"/>
        <v>5314.617026766</v>
      </c>
      <c r="W98" s="97">
        <f t="shared" si="122"/>
        <v>0.11564208991005165</v>
      </c>
      <c r="X98" s="97">
        <f t="shared" si="104"/>
        <v>0.15212509205735247</v>
      </c>
      <c r="Y98" s="4">
        <v>638.06340748400009</v>
      </c>
      <c r="Z98" s="4">
        <f t="shared" si="95"/>
        <v>6071.281211679001</v>
      </c>
      <c r="AA98" s="97">
        <f t="shared" si="123"/>
        <v>0.3875145320017519</v>
      </c>
      <c r="AB98" s="97">
        <f t="shared" si="105"/>
        <v>0.44238631068969969</v>
      </c>
      <c r="AC98" s="4">
        <v>194.63723285100002</v>
      </c>
      <c r="AD98" s="4">
        <f t="shared" si="70"/>
        <v>0.15089386330629065</v>
      </c>
      <c r="AE98" s="4">
        <v>247.25697431399999</v>
      </c>
      <c r="AF98" s="4">
        <f t="shared" si="71"/>
        <v>0.19168768244986914</v>
      </c>
      <c r="AG98" s="4">
        <v>319.14713005300007</v>
      </c>
      <c r="AH98" s="4">
        <f t="shared" si="72"/>
        <v>67.338027539857663</v>
      </c>
      <c r="AI98" s="4">
        <v>36.259682461000004</v>
      </c>
      <c r="AJ98" s="4">
        <f t="shared" si="73"/>
        <v>5.2148769297922222</v>
      </c>
      <c r="AK98" s="101">
        <f>SUMIFS($AJ$3:$AJ98,$D$3:$D98,D98)</f>
        <v>193.42200417524583</v>
      </c>
      <c r="AL98" s="4">
        <v>0</v>
      </c>
      <c r="AM98" s="4">
        <f t="shared" si="74"/>
        <v>0</v>
      </c>
      <c r="AN98" s="101">
        <f>SUMIFS($AM$3:$AM98,$D$3:$D98,D98)</f>
        <v>0</v>
      </c>
      <c r="AO98" s="4">
        <f t="shared" si="87"/>
        <v>282.88744759200006</v>
      </c>
      <c r="AP98" s="56">
        <v>2109.7191020509999</v>
      </c>
      <c r="AQ98" s="4">
        <f t="shared" si="75"/>
        <v>1.6355743509940586</v>
      </c>
      <c r="AR98" s="4">
        <f>SUMIFS($AP$3:$AP98,$D$3:$D98,D98)</f>
        <v>12724.523446382998</v>
      </c>
      <c r="AS98" s="4">
        <f t="shared" si="96"/>
        <v>12724.523446382998</v>
      </c>
      <c r="AT98" s="97">
        <f t="shared" si="106"/>
        <v>6.1923077608529775E-2</v>
      </c>
      <c r="AU98" s="97">
        <f t="shared" si="107"/>
        <v>8.6721141524748191E-2</v>
      </c>
      <c r="AV98" s="98">
        <f t="shared" si="118"/>
        <v>8.6721141524748191E-2</v>
      </c>
      <c r="AW98" s="4">
        <v>1097.0644526040001</v>
      </c>
      <c r="AX98" s="4">
        <f>SUMIFS($AW$3:$AW98,$D$3:$D98,D98)</f>
        <v>6848.1524711679995</v>
      </c>
      <c r="AY98" s="4">
        <f t="shared" si="97"/>
        <v>6848.1524711679995</v>
      </c>
      <c r="AZ98" s="97">
        <f t="shared" si="108"/>
        <v>0.11999145311110659</v>
      </c>
      <c r="BA98" s="97">
        <f t="shared" si="109"/>
        <v>0.13765947281482038</v>
      </c>
      <c r="BB98" s="97">
        <f t="shared" si="124"/>
        <v>0.13765947281482038</v>
      </c>
      <c r="BC98" s="4">
        <v>383.89079903099997</v>
      </c>
      <c r="BD98" s="4">
        <f t="shared" si="88"/>
        <v>713.17365357300014</v>
      </c>
      <c r="BE98" s="4">
        <v>207.38074734200001</v>
      </c>
      <c r="BF98" s="4">
        <v>40.869971289000006</v>
      </c>
      <c r="BG98" s="4">
        <f t="shared" si="76"/>
        <v>5.8779298639891806</v>
      </c>
      <c r="BH98" s="4">
        <f>Datos1[[#This Row],[Intereses]]/Datos1[[#This Row],[PIB nominal (miles de millones de G.)]]*100</f>
        <v>3.1684728408235302E-2</v>
      </c>
      <c r="BI98" s="4">
        <v>347.78957978699998</v>
      </c>
      <c r="BJ98" s="4">
        <v>314.66543605700002</v>
      </c>
      <c r="BK98" s="4">
        <v>101.94891497200001</v>
      </c>
      <c r="BL98" s="56">
        <f t="shared" si="77"/>
        <v>-302.95112069000015</v>
      </c>
      <c r="BM98" s="56">
        <f>SUMIFS($BL$3:$BL98,$D$3:$D98,D98)</f>
        <v>3517.6190886099998</v>
      </c>
      <c r="BN98" s="56">
        <f t="shared" si="90"/>
        <v>3517.6190886099998</v>
      </c>
      <c r="BO98" s="100">
        <f t="shared" si="110"/>
        <v>-0.45184991373029637</v>
      </c>
      <c r="BP98" s="100">
        <f t="shared" si="111"/>
        <v>0.62189318043492814</v>
      </c>
      <c r="BQ98" s="100">
        <f t="shared" si="119"/>
        <v>0.62189318043492814</v>
      </c>
      <c r="BR98" s="2">
        <f t="shared" si="78"/>
        <v>-0.23486495530317836</v>
      </c>
      <c r="BS98" s="2">
        <f>+Datos1[[#This Row],[RON acumulado 12 meses]]/Datos1[[#This Row],[PIB nominal (miles de millones de G.)]]*100</f>
        <v>2.7270585701690879</v>
      </c>
      <c r="BT98" s="56">
        <v>608.14461881000011</v>
      </c>
      <c r="BU98" s="56">
        <f>SUMIFS($BT$3:$BT98,$D$3:$D98,D98)</f>
        <v>2266.5231189269998</v>
      </c>
      <c r="BV98" s="56">
        <f t="shared" si="98"/>
        <v>2266.5231189269998</v>
      </c>
      <c r="BW98" s="100">
        <f t="shared" si="112"/>
        <v>0.25574030100033784</v>
      </c>
      <c r="BX98" s="100">
        <f t="shared" si="113"/>
        <v>9.2289905833419672E-2</v>
      </c>
      <c r="BY98" s="100">
        <f t="shared" si="120"/>
        <v>9.2289905833419672E-2</v>
      </c>
      <c r="BZ98" s="56">
        <f t="shared" si="79"/>
        <v>87.463516704004007</v>
      </c>
      <c r="CA98" s="56">
        <f>Datos1[[#This Row],[Adquisición Neta de Activos no Financieros]]/Datos1[[#This Row],[PIB nominal (miles de millones de G.)]]*100</f>
        <v>0.47146832924521259</v>
      </c>
      <c r="CB98" s="56">
        <f>+Datos1[[#This Row],[ANANF acumulado por año]]/Datos1[[#This Row],[PIB nominal (miles de millones de G.)]]*100</f>
        <v>1.7571377514893656</v>
      </c>
      <c r="CC98" s="56">
        <f>+Datos1[[#This Row],[ANANF acumulado 12 meses]]/Datos1[[#This Row],[PIB nominal (miles de millones de G.)]]*100</f>
        <v>1.7571377514893656</v>
      </c>
      <c r="CD98" s="4">
        <v>164.388984147</v>
      </c>
      <c r="CE98" s="4">
        <f t="shared" si="80"/>
        <v>23.642466308474319</v>
      </c>
      <c r="CF98" s="4">
        <f t="shared" si="81"/>
        <v>443.75563466300014</v>
      </c>
      <c r="CG98" s="4">
        <f t="shared" si="82"/>
        <v>63.821050395529689</v>
      </c>
      <c r="CH98" s="56">
        <f t="shared" si="83"/>
        <v>-911.09573950000026</v>
      </c>
      <c r="CI98" s="56">
        <f>SUMIFS($CH$3:$CH98,$D$3:$D98,D98)</f>
        <v>1251.0959696829998</v>
      </c>
      <c r="CJ98" s="56">
        <f t="shared" si="91"/>
        <v>1251.0959696829998</v>
      </c>
      <c r="CK98" s="56">
        <f>Datos1[[#This Row],[Resultado Fiscal (miles de millones de G.)]]*1000/$F$207</f>
        <v>-131.03402540441058</v>
      </c>
      <c r="CL98" s="56">
        <f t="shared" si="99"/>
        <v>179.93294663496548</v>
      </c>
      <c r="CM98" s="100">
        <f t="shared" si="114"/>
        <v>-0.12138732266550767</v>
      </c>
      <c r="CN98" s="100">
        <f t="shared" si="115"/>
        <v>12.335706495872747</v>
      </c>
      <c r="CO98" s="100">
        <f t="shared" si="121"/>
        <v>12.335706495872747</v>
      </c>
      <c r="CP98" s="4">
        <f t="shared" si="84"/>
        <v>-0.70633328454839095</v>
      </c>
      <c r="CQ98" s="4">
        <f t="shared" si="92"/>
        <v>0.96992081867972246</v>
      </c>
      <c r="CR98" s="73">
        <v>1134.1520728769999</v>
      </c>
      <c r="CS98" s="113">
        <f>SUM(Datos1[[#This Row],[FFPP]:[MTESS]])</f>
        <v>0</v>
      </c>
      <c r="CT98" s="113"/>
      <c r="CU98" s="113"/>
      <c r="CV98" s="113"/>
      <c r="CW98" s="113"/>
      <c r="CX98" s="113"/>
      <c r="CY98" s="113"/>
      <c r="CZ98" s="113"/>
    </row>
    <row r="99" spans="1:104">
      <c r="A99">
        <v>97</v>
      </c>
      <c r="B99" s="76">
        <v>40544</v>
      </c>
      <c r="C99" s="14" t="str">
        <f t="shared" si="66"/>
        <v>Enero</v>
      </c>
      <c r="D99" s="14">
        <f t="shared" si="85"/>
        <v>2011</v>
      </c>
      <c r="E99" s="15">
        <f t="shared" si="67"/>
        <v>141315.79980709453</v>
      </c>
      <c r="F99" s="15">
        <f t="shared" ref="F99:F130" si="125">VLOOKUP(D99,cambio,2,0)</f>
        <v>4196.178620091895</v>
      </c>
      <c r="G99" s="56">
        <v>1245.5600994060001</v>
      </c>
      <c r="H99" s="4">
        <f t="shared" si="86"/>
        <v>0.88140186808996057</v>
      </c>
      <c r="I99" s="4">
        <f>SUMIFS($G$3:$G99,$D$3:$D99,D99)</f>
        <v>1245.5600994060001</v>
      </c>
      <c r="J99" s="2">
        <f t="shared" si="93"/>
        <v>16465.197947093999</v>
      </c>
      <c r="K99" s="95">
        <f t="shared" si="100"/>
        <v>0.21814610228233167</v>
      </c>
      <c r="L99" s="95">
        <f t="shared" si="101"/>
        <v>0.21814610228233167</v>
      </c>
      <c r="M99" s="95">
        <f t="shared" si="116"/>
        <v>0.17947983753931762</v>
      </c>
      <c r="N99" s="4">
        <v>938.41699295499996</v>
      </c>
      <c r="O99" s="4">
        <f t="shared" si="69"/>
        <v>0.66405666898959748</v>
      </c>
      <c r="P99" s="4">
        <f>SUMIFS($N$3:$N99,$D$3:$D99,D99)</f>
        <v>938.41699295499996</v>
      </c>
      <c r="Q99" s="4">
        <f t="shared" si="89"/>
        <v>11599.254310873999</v>
      </c>
      <c r="R99" s="97">
        <f t="shared" si="102"/>
        <v>0.26014431874625799</v>
      </c>
      <c r="S99" s="97">
        <f t="shared" si="103"/>
        <v>0.26014431874625799</v>
      </c>
      <c r="T99" s="97">
        <f t="shared" si="117"/>
        <v>0.24061067645311129</v>
      </c>
      <c r="U99" s="4">
        <v>435.04426955000002</v>
      </c>
      <c r="V99" s="4">
        <f t="shared" si="94"/>
        <v>5355.3712052839992</v>
      </c>
      <c r="W99" s="97">
        <f t="shared" si="122"/>
        <v>0.10510287285236841</v>
      </c>
      <c r="X99" s="97">
        <f t="shared" si="104"/>
        <v>0.10336089961411798</v>
      </c>
      <c r="Y99" s="4">
        <v>503.81008478500007</v>
      </c>
      <c r="Z99" s="4">
        <f t="shared" si="95"/>
        <v>6198.5433245810009</v>
      </c>
      <c r="AA99" s="97">
        <f t="shared" si="123"/>
        <v>0.40186512763869131</v>
      </c>
      <c r="AB99" s="97">
        <f t="shared" si="105"/>
        <v>0.33797051744987949</v>
      </c>
      <c r="AC99" s="4">
        <v>11.662057708000001</v>
      </c>
      <c r="AD99" s="4">
        <f t="shared" si="70"/>
        <v>8.2524797113411839E-3</v>
      </c>
      <c r="AE99" s="4">
        <v>22.332586022000001</v>
      </c>
      <c r="AF99" s="4">
        <f t="shared" si="71"/>
        <v>1.5803318562033025E-2</v>
      </c>
      <c r="AG99" s="4">
        <v>273.14846272099999</v>
      </c>
      <c r="AH99" s="4">
        <f t="shared" si="72"/>
        <v>65.094574719275911</v>
      </c>
      <c r="AI99" s="4">
        <v>129.24483819599999</v>
      </c>
      <c r="AJ99" s="4">
        <f t="shared" si="73"/>
        <v>18.588026128689403</v>
      </c>
      <c r="AK99" s="101">
        <f>SUMIFS($AJ$3:$AJ99,$D$3:$D99,D99)</f>
        <v>18.588026128689403</v>
      </c>
      <c r="AL99" s="4">
        <v>0</v>
      </c>
      <c r="AM99" s="4">
        <f t="shared" si="74"/>
        <v>0</v>
      </c>
      <c r="AN99" s="101">
        <f>SUMIFS($AM$3:$AM99,$D$3:$D99,D99)</f>
        <v>0</v>
      </c>
      <c r="AO99" s="4">
        <f t="shared" si="87"/>
        <v>143.903624525</v>
      </c>
      <c r="AP99" s="56">
        <v>739.44159979100004</v>
      </c>
      <c r="AQ99" s="4">
        <f t="shared" si="75"/>
        <v>0.52325472509116955</v>
      </c>
      <c r="AR99" s="4">
        <f>SUMIFS($AP$3:$AP99,$D$3:$D99,D99)</f>
        <v>739.44159979100004</v>
      </c>
      <c r="AS99" s="4">
        <f t="shared" si="96"/>
        <v>12773.451847773998</v>
      </c>
      <c r="AT99" s="97">
        <f t="shared" si="106"/>
        <v>7.0858024878268644E-2</v>
      </c>
      <c r="AU99" s="97">
        <f t="shared" si="107"/>
        <v>7.0858024878268644E-2</v>
      </c>
      <c r="AV99" s="98">
        <f t="shared" si="118"/>
        <v>8.6655816384934692E-2</v>
      </c>
      <c r="AW99" s="4">
        <v>511.05256870099998</v>
      </c>
      <c r="AX99" s="4">
        <f>SUMIFS($AW$3:$AW99,$D$3:$D99,D99)</f>
        <v>511.05256870099998</v>
      </c>
      <c r="AY99" s="4">
        <f t="shared" si="97"/>
        <v>6888.4666309070008</v>
      </c>
      <c r="AZ99" s="97">
        <f t="shared" si="108"/>
        <v>8.5640260007452174E-2</v>
      </c>
      <c r="BA99" s="97">
        <f t="shared" si="109"/>
        <v>8.5640260007452174E-2</v>
      </c>
      <c r="BB99" s="97">
        <f t="shared" si="124"/>
        <v>0.134197569945119</v>
      </c>
      <c r="BC99" s="4">
        <v>405.98721555499998</v>
      </c>
      <c r="BD99" s="4">
        <f t="shared" si="88"/>
        <v>105.06535314600001</v>
      </c>
      <c r="BE99" s="4">
        <v>6.9822007270000004</v>
      </c>
      <c r="BF99" s="4">
        <v>14.299350767</v>
      </c>
      <c r="BG99" s="4">
        <f t="shared" si="76"/>
        <v>2.0565363335997198</v>
      </c>
      <c r="BH99" s="4">
        <f>Datos1[[#This Row],[Intereses]]/Datos1[[#This Row],[PIB nominal (miles de millones de G.)]]*100</f>
        <v>1.0118720473237646E-2</v>
      </c>
      <c r="BI99" s="4">
        <v>69.814233797</v>
      </c>
      <c r="BJ99" s="4">
        <v>129.94450331100001</v>
      </c>
      <c r="BK99" s="4">
        <v>7.3487424880000001</v>
      </c>
      <c r="BL99" s="56">
        <f t="shared" ref="BL99:BL130" si="126">+G99-AP99</f>
        <v>506.11849961500002</v>
      </c>
      <c r="BM99" s="56">
        <f>SUMIFS($BL$3:$BL99,$D$3:$D99,D99)</f>
        <v>506.11849961500002</v>
      </c>
      <c r="BN99" s="56">
        <f t="shared" si="90"/>
        <v>3691.7460993200002</v>
      </c>
      <c r="BO99" s="100">
        <f t="shared" si="110"/>
        <v>0.52449239371864387</v>
      </c>
      <c r="BP99" s="100">
        <f t="shared" si="111"/>
        <v>0.52449239371864387</v>
      </c>
      <c r="BQ99" s="100">
        <f t="shared" si="119"/>
        <v>0.67434967140261559</v>
      </c>
      <c r="BR99" s="2">
        <f t="shared" si="78"/>
        <v>0.35814714299879097</v>
      </c>
      <c r="BS99" s="2">
        <f>+Datos1[[#This Row],[RON acumulado 12 meses]]/Datos1[[#This Row],[PIB nominal (miles de millones de G.)]]*100</f>
        <v>2.6124085943394011</v>
      </c>
      <c r="BT99" s="56">
        <v>38.999830975999998</v>
      </c>
      <c r="BU99" s="56">
        <f>SUMIFS($BT$3:$BT99,$D$3:$D99,D99)</f>
        <v>38.999830975999998</v>
      </c>
      <c r="BV99" s="56">
        <f t="shared" si="98"/>
        <v>2279.1184828049995</v>
      </c>
      <c r="BW99" s="100">
        <f t="shared" si="112"/>
        <v>0.47701640147678015</v>
      </c>
      <c r="BX99" s="100">
        <f t="shared" si="113"/>
        <v>0.47701640147678015</v>
      </c>
      <c r="BY99" s="100">
        <f t="shared" si="120"/>
        <v>8.5816325768147905E-2</v>
      </c>
      <c r="BZ99" s="56">
        <f t="shared" si="79"/>
        <v>5.6089657994464819</v>
      </c>
      <c r="CA99" s="56">
        <f>Datos1[[#This Row],[Adquisición Neta de Activos no Financieros]]/Datos1[[#This Row],[PIB nominal (miles de millones de G.)]]*100</f>
        <v>2.7597643737810894E-2</v>
      </c>
      <c r="CB99" s="56">
        <f>+Datos1[[#This Row],[ANANF acumulado por año]]/Datos1[[#This Row],[PIB nominal (miles de millones de G.)]]*100</f>
        <v>2.7597643737810894E-2</v>
      </c>
      <c r="CC99" s="56">
        <f>+Datos1[[#This Row],[ANANF acumulado 12 meses]]/Datos1[[#This Row],[PIB nominal (miles de millones de G.)]]*100</f>
        <v>1.6127839108692361</v>
      </c>
      <c r="CD99" s="4">
        <v>34.63144235</v>
      </c>
      <c r="CE99" s="4">
        <f t="shared" si="80"/>
        <v>4.980703014999972</v>
      </c>
      <c r="CF99" s="4">
        <f t="shared" si="81"/>
        <v>4.368388625999998</v>
      </c>
      <c r="CG99" s="4">
        <f t="shared" si="82"/>
        <v>0.62826278444650974</v>
      </c>
      <c r="CH99" s="56">
        <f t="shared" si="83"/>
        <v>467.11866863900002</v>
      </c>
      <c r="CI99" s="56">
        <f>SUMIFS($CH$3:$CH99,$D$3:$D99,D99)</f>
        <v>467.11866863900002</v>
      </c>
      <c r="CJ99" s="56">
        <f t="shared" si="91"/>
        <v>1412.6276165149998</v>
      </c>
      <c r="CK99" s="56">
        <f>Datos1[[#This Row],[Resultado Fiscal (miles de millones de G.)]]*1000/$F$207</f>
        <v>67.181127997489853</v>
      </c>
      <c r="CL99" s="56">
        <f t="shared" si="99"/>
        <v>203.16446995019501</v>
      </c>
      <c r="CM99" s="100">
        <f t="shared" si="114"/>
        <v>0.5285945910818779</v>
      </c>
      <c r="CN99" s="100">
        <f t="shared" si="115"/>
        <v>0.5285945910818779</v>
      </c>
      <c r="CO99" s="100">
        <f t="shared" si="121"/>
        <v>12.340169734613042</v>
      </c>
      <c r="CP99" s="4">
        <f t="shared" si="84"/>
        <v>0.3305494992609801</v>
      </c>
      <c r="CQ99" s="4">
        <f t="shared" si="92"/>
        <v>0.99962468347016431</v>
      </c>
      <c r="CR99" s="73">
        <v>565.14264825099997</v>
      </c>
      <c r="CS99" s="113">
        <f>SUM(Datos1[[#This Row],[FFPP]:[MTESS]])</f>
        <v>0</v>
      </c>
      <c r="CT99" s="113"/>
      <c r="CU99" s="113"/>
      <c r="CV99" s="113"/>
      <c r="CW99" s="113"/>
      <c r="CX99" s="113"/>
      <c r="CY99" s="113"/>
      <c r="CZ99" s="113"/>
    </row>
    <row r="100" spans="1:104">
      <c r="A100">
        <v>98</v>
      </c>
      <c r="B100" s="3">
        <v>40575</v>
      </c>
      <c r="C100" s="14" t="str">
        <f t="shared" si="66"/>
        <v>Febrero</v>
      </c>
      <c r="D100" s="14">
        <f t="shared" si="85"/>
        <v>2011</v>
      </c>
      <c r="E100" s="15">
        <f t="shared" si="67"/>
        <v>141315.79980709453</v>
      </c>
      <c r="F100" s="15">
        <f t="shared" si="125"/>
        <v>4196.178620091895</v>
      </c>
      <c r="G100" s="56">
        <v>1457.4215451810001</v>
      </c>
      <c r="H100" s="4">
        <f t="shared" si="86"/>
        <v>1.0313224332809761</v>
      </c>
      <c r="I100" s="4">
        <f>SUMIFS($G$3:$G100,$D$3:$D100,D100)</f>
        <v>2702.9816445870001</v>
      </c>
      <c r="J100" s="2">
        <f t="shared" si="93"/>
        <v>16781.990454985</v>
      </c>
      <c r="K100" s="95">
        <f t="shared" si="100"/>
        <v>0.24956752042367381</v>
      </c>
      <c r="L100" s="95">
        <f t="shared" si="101"/>
        <v>0.27773491427472474</v>
      </c>
      <c r="M100" s="95">
        <f t="shared" si="116"/>
        <v>0.18484291511761386</v>
      </c>
      <c r="N100" s="4">
        <v>794.28355826899997</v>
      </c>
      <c r="O100" s="4">
        <f t="shared" si="69"/>
        <v>0.56206281205162467</v>
      </c>
      <c r="P100" s="4">
        <f>SUMIFS($N$3:$N100,$D$3:$D100,D100)</f>
        <v>1732.7005512239998</v>
      </c>
      <c r="Q100" s="4">
        <f t="shared" si="89"/>
        <v>11626.580905607001</v>
      </c>
      <c r="R100" s="97">
        <f t="shared" si="102"/>
        <v>3.5629893243308786E-2</v>
      </c>
      <c r="S100" s="97">
        <f t="shared" si="103"/>
        <v>0.14623353445639786</v>
      </c>
      <c r="T100" s="97">
        <f t="shared" si="117"/>
        <v>0.2217562577277481</v>
      </c>
      <c r="U100" s="4">
        <v>332.23187348299996</v>
      </c>
      <c r="V100" s="4">
        <f t="shared" si="94"/>
        <v>5383.9190391759994</v>
      </c>
      <c r="W100" s="97">
        <f t="shared" si="122"/>
        <v>9.8080036133107784E-2</v>
      </c>
      <c r="X100" s="97">
        <f t="shared" si="104"/>
        <v>9.4005051863930822E-2</v>
      </c>
      <c r="Y100" s="4">
        <v>528.41491339299989</v>
      </c>
      <c r="Z100" s="4">
        <f t="shared" si="95"/>
        <v>6286.1579230990001</v>
      </c>
      <c r="AA100" s="97">
        <f t="shared" si="123"/>
        <v>0.38852591956898785</v>
      </c>
      <c r="AB100" s="97">
        <f t="shared" si="105"/>
        <v>0.19876255883085103</v>
      </c>
      <c r="AC100" s="4">
        <v>118.64265187800001</v>
      </c>
      <c r="AD100" s="4">
        <f t="shared" si="70"/>
        <v>8.39556879272913E-2</v>
      </c>
      <c r="AE100" s="4">
        <v>30.856506076999999</v>
      </c>
      <c r="AF100" s="4">
        <f t="shared" si="71"/>
        <v>2.1835142368455036E-2</v>
      </c>
      <c r="AG100" s="4">
        <v>513.63882895699999</v>
      </c>
      <c r="AH100" s="4">
        <f t="shared" si="72"/>
        <v>122.40633096446963</v>
      </c>
      <c r="AI100" s="4">
        <v>130.170974433</v>
      </c>
      <c r="AJ100" s="4">
        <f t="shared" si="73"/>
        <v>18.721223282342656</v>
      </c>
      <c r="AK100" s="101">
        <f>SUMIFS($AJ$3:$AJ100,$D$3:$D100,D100)</f>
        <v>37.309249411032056</v>
      </c>
      <c r="AL100" s="4">
        <v>0</v>
      </c>
      <c r="AM100" s="4">
        <f t="shared" si="74"/>
        <v>0</v>
      </c>
      <c r="AN100" s="101">
        <f>SUMIFS($AM$3:$AM100,$D$3:$D100,D100)</f>
        <v>0</v>
      </c>
      <c r="AO100" s="4">
        <f t="shared" si="87"/>
        <v>383.46785452400002</v>
      </c>
      <c r="AP100" s="56">
        <v>990.95262965200004</v>
      </c>
      <c r="AQ100" s="4">
        <f t="shared" si="75"/>
        <v>0.70123272203441955</v>
      </c>
      <c r="AR100" s="4">
        <f>SUMIFS($AP$3:$AP100,$D$3:$D100,D100)</f>
        <v>1730.3942294430001</v>
      </c>
      <c r="AS100" s="4">
        <f t="shared" si="96"/>
        <v>12941.137597251998</v>
      </c>
      <c r="AT100" s="97">
        <f t="shared" si="106"/>
        <v>0.20368334195900006</v>
      </c>
      <c r="AU100" s="97">
        <f t="shared" si="107"/>
        <v>0.14309486162154639</v>
      </c>
      <c r="AV100" s="98">
        <f t="shared" si="118"/>
        <v>9.3750489173178186E-2</v>
      </c>
      <c r="AW100" s="4">
        <v>609.96429822200002</v>
      </c>
      <c r="AX100" s="4">
        <f>SUMIFS($AW$3:$AW100,$D$3:$D100,D100)</f>
        <v>1121.016866923</v>
      </c>
      <c r="AY100" s="4">
        <f t="shared" si="97"/>
        <v>6979.1132387300004</v>
      </c>
      <c r="AZ100" s="97">
        <f t="shared" si="108"/>
        <v>0.17454943187734417</v>
      </c>
      <c r="BA100" s="97">
        <f t="shared" si="109"/>
        <v>0.13227610803723588</v>
      </c>
      <c r="BB100" s="97">
        <f t="shared" si="124"/>
        <v>0.13469837612384294</v>
      </c>
      <c r="BC100" s="4">
        <v>407.15786463900002</v>
      </c>
      <c r="BD100" s="4">
        <f t="shared" si="88"/>
        <v>202.806433583</v>
      </c>
      <c r="BE100" s="4">
        <v>42.759332592999996</v>
      </c>
      <c r="BF100" s="4">
        <v>30.962302599999997</v>
      </c>
      <c r="BG100" s="4">
        <f t="shared" si="76"/>
        <v>4.4530063851401058</v>
      </c>
      <c r="BH100" s="4">
        <f>Datos1[[#This Row],[Intereses]]/Datos1[[#This Row],[PIB nominal (miles de millones de G.)]]*100</f>
        <v>2.1910007686518847E-2</v>
      </c>
      <c r="BI100" s="4">
        <v>113.56076380099998</v>
      </c>
      <c r="BJ100" s="4">
        <v>185.58987043299999</v>
      </c>
      <c r="BK100" s="4">
        <v>8.1160620029999997</v>
      </c>
      <c r="BL100" s="56">
        <f t="shared" si="126"/>
        <v>466.46891552900001</v>
      </c>
      <c r="BM100" s="56">
        <f>SUMIFS($BL$3:$BL100,$D$3:$D100,D100)</f>
        <v>972.58741514400003</v>
      </c>
      <c r="BN100" s="56">
        <f t="shared" si="90"/>
        <v>3840.8528577329998</v>
      </c>
      <c r="BO100" s="100">
        <f t="shared" si="110"/>
        <v>0.46983156330923115</v>
      </c>
      <c r="BP100" s="100">
        <f t="shared" si="111"/>
        <v>0.4977777072688474</v>
      </c>
      <c r="BQ100" s="100">
        <f t="shared" si="119"/>
        <v>0.64701890085105163</v>
      </c>
      <c r="BR100" s="2">
        <f t="shared" si="78"/>
        <v>0.33008971124655639</v>
      </c>
      <c r="BS100" s="2">
        <f>+Datos1[[#This Row],[RON acumulado 12 meses]]/Datos1[[#This Row],[PIB nominal (miles de millones de G.)]]*100</f>
        <v>2.7179217490018948</v>
      </c>
      <c r="BT100" s="56">
        <v>88.52373468799999</v>
      </c>
      <c r="BU100" s="56">
        <f>SUMIFS($BT$3:$BT100,$D$3:$D100,D100)</f>
        <v>127.52356566399999</v>
      </c>
      <c r="BV100" s="56">
        <f t="shared" si="98"/>
        <v>2207.5696861500001</v>
      </c>
      <c r="BW100" s="100">
        <f t="shared" si="112"/>
        <v>-0.44697735491973178</v>
      </c>
      <c r="BX100" s="100">
        <f t="shared" si="113"/>
        <v>-0.31614318800638808</v>
      </c>
      <c r="BY100" s="100">
        <f t="shared" si="120"/>
        <v>-5.4654908471485353E-3</v>
      </c>
      <c r="BZ100" s="56">
        <f t="shared" si="79"/>
        <v>12.731506467549112</v>
      </c>
      <c r="CA100" s="56">
        <f>Datos1[[#This Row],[Adquisición Neta de Activos no Financieros]]/Datos1[[#This Row],[PIB nominal (miles de millones de G.)]]*100</f>
        <v>6.2642489239590177E-2</v>
      </c>
      <c r="CB100" s="56">
        <f>+Datos1[[#This Row],[ANANF acumulado por año]]/Datos1[[#This Row],[PIB nominal (miles de millones de G.)]]*100</f>
        <v>9.0240132977401064E-2</v>
      </c>
      <c r="CC100" s="56">
        <f>+Datos1[[#This Row],[ANANF acumulado 12 meses]]/Datos1[[#This Row],[PIB nominal (miles de millones de G.)]]*100</f>
        <v>1.5621534811843258</v>
      </c>
      <c r="CD100" s="4">
        <v>71.429146595999995</v>
      </c>
      <c r="CE100" s="4">
        <f t="shared" si="80"/>
        <v>10.272958377362304</v>
      </c>
      <c r="CF100" s="4">
        <f t="shared" si="81"/>
        <v>17.094588091999995</v>
      </c>
      <c r="CG100" s="4">
        <f t="shared" si="82"/>
        <v>2.4585480901868069</v>
      </c>
      <c r="CH100" s="56">
        <f t="shared" si="83"/>
        <v>377.94518084100002</v>
      </c>
      <c r="CI100" s="56">
        <f>SUMIFS($CH$3:$CH100,$D$3:$D100,D100)</f>
        <v>845.06384948000004</v>
      </c>
      <c r="CJ100" s="56">
        <f t="shared" si="91"/>
        <v>1633.2831715829998</v>
      </c>
      <c r="CK100" s="56">
        <f>Datos1[[#This Row],[Resultado Fiscal (miles de millones de G.)]]*1000/$F$207</f>
        <v>54.356173869249162</v>
      </c>
      <c r="CL100" s="56">
        <f t="shared" si="99"/>
        <v>234.89920907242163</v>
      </c>
      <c r="CM100" s="100">
        <f t="shared" si="114"/>
        <v>1.4028614664418471</v>
      </c>
      <c r="CN100" s="100">
        <f t="shared" si="115"/>
        <v>0.82567829657888692</v>
      </c>
      <c r="CO100" s="100">
        <f t="shared" si="121"/>
        <v>13.543739594309752</v>
      </c>
      <c r="CP100" s="4">
        <f t="shared" si="84"/>
        <v>0.26744722200696619</v>
      </c>
      <c r="CQ100" s="4">
        <f t="shared" si="92"/>
        <v>1.1557682678175689</v>
      </c>
      <c r="CR100" s="73">
        <v>673.04213475100005</v>
      </c>
      <c r="CS100" s="113">
        <f>SUM(Datos1[[#This Row],[FFPP]:[MTESS]])</f>
        <v>0</v>
      </c>
      <c r="CT100" s="113"/>
      <c r="CU100" s="113"/>
      <c r="CV100" s="113"/>
      <c r="CW100" s="113"/>
      <c r="CX100" s="113"/>
      <c r="CY100" s="113"/>
      <c r="CZ100" s="113"/>
    </row>
    <row r="101" spans="1:104">
      <c r="A101">
        <v>99</v>
      </c>
      <c r="B101" s="3">
        <v>40603</v>
      </c>
      <c r="C101" s="14" t="str">
        <f t="shared" si="66"/>
        <v>Marzo</v>
      </c>
      <c r="D101" s="14">
        <f t="shared" si="85"/>
        <v>2011</v>
      </c>
      <c r="E101" s="15">
        <f t="shared" si="67"/>
        <v>141315.79980709453</v>
      </c>
      <c r="F101" s="15">
        <f t="shared" si="125"/>
        <v>4196.178620091895</v>
      </c>
      <c r="G101" s="56">
        <v>1382.6243175969998</v>
      </c>
      <c r="H101" s="4">
        <f t="shared" si="86"/>
        <v>0.97839330031346383</v>
      </c>
      <c r="I101" s="4">
        <f>SUMIFS($G$3:$G101,$D$3:$D101,D101)</f>
        <v>4085.605962184</v>
      </c>
      <c r="J101" s="2">
        <f t="shared" si="93"/>
        <v>17073.456691993</v>
      </c>
      <c r="K101" s="95">
        <f t="shared" si="100"/>
        <v>0.25545163334023679</v>
      </c>
      <c r="L101" s="95">
        <f t="shared" si="101"/>
        <v>0.26711641712873369</v>
      </c>
      <c r="M101" s="95">
        <f t="shared" si="116"/>
        <v>0.1964923807800476</v>
      </c>
      <c r="N101" s="4">
        <v>1021.1500922389999</v>
      </c>
      <c r="O101" s="4">
        <f t="shared" si="69"/>
        <v>0.72260150219079378</v>
      </c>
      <c r="P101" s="4">
        <f>SUMIFS($N$3:$N101,$D$3:$D101,D101)</f>
        <v>2753.8506434629999</v>
      </c>
      <c r="Q101" s="4">
        <f t="shared" si="89"/>
        <v>11910.093663023001</v>
      </c>
      <c r="R101" s="97">
        <f t="shared" si="102"/>
        <v>0.38435250499356877</v>
      </c>
      <c r="S101" s="97">
        <f t="shared" si="103"/>
        <v>0.22432301184065717</v>
      </c>
      <c r="T101" s="97">
        <f t="shared" si="117"/>
        <v>0.23595634404590204</v>
      </c>
      <c r="U101" s="4">
        <v>396.54726297600007</v>
      </c>
      <c r="V101" s="4">
        <f t="shared" si="94"/>
        <v>5456.5495757459985</v>
      </c>
      <c r="W101" s="97">
        <f t="shared" si="122"/>
        <v>9.2278907137971711E-2</v>
      </c>
      <c r="X101" s="97">
        <f t="shared" si="104"/>
        <v>0.22422595268811296</v>
      </c>
      <c r="Y101" s="4">
        <v>575.60618828999998</v>
      </c>
      <c r="Z101" s="4">
        <f t="shared" si="95"/>
        <v>6420.5430362990001</v>
      </c>
      <c r="AA101" s="97">
        <f t="shared" si="123"/>
        <v>0.38703155338667794</v>
      </c>
      <c r="AB101" s="97">
        <f t="shared" si="105"/>
        <v>0.3045754629299795</v>
      </c>
      <c r="AC101" s="4">
        <v>112.770479623</v>
      </c>
      <c r="AD101" s="4">
        <f t="shared" si="70"/>
        <v>7.9800333562799919E-2</v>
      </c>
      <c r="AE101" s="4">
        <v>69.760270995000013</v>
      </c>
      <c r="AF101" s="4">
        <f t="shared" si="71"/>
        <v>4.9364806405389504E-2</v>
      </c>
      <c r="AG101" s="4">
        <v>178.94347474</v>
      </c>
      <c r="AH101" s="4">
        <f t="shared" si="72"/>
        <v>42.644389322035387</v>
      </c>
      <c r="AI101" s="4">
        <v>122.033946836</v>
      </c>
      <c r="AJ101" s="4">
        <f t="shared" si="73"/>
        <v>17.550953864282572</v>
      </c>
      <c r="AK101" s="101">
        <f>SUMIFS($AJ$3:$AJ101,$D$3:$D101,D101)</f>
        <v>54.860203275314632</v>
      </c>
      <c r="AL101" s="4">
        <v>0</v>
      </c>
      <c r="AM101" s="4">
        <f t="shared" si="74"/>
        <v>0</v>
      </c>
      <c r="AN101" s="101">
        <f>SUMIFS($AM$3:$AM101,$D$3:$D101,D101)</f>
        <v>0</v>
      </c>
      <c r="AO101" s="4">
        <f t="shared" si="87"/>
        <v>56.909527904000001</v>
      </c>
      <c r="AP101" s="56">
        <v>1250.5870683670003</v>
      </c>
      <c r="AQ101" s="4">
        <f t="shared" si="75"/>
        <v>0.88495912705736712</v>
      </c>
      <c r="AR101" s="4">
        <f>SUMIFS($AP$3:$AP101,$D$3:$D101,D101)</f>
        <v>2980.9812978100003</v>
      </c>
      <c r="AS101" s="4">
        <f t="shared" si="96"/>
        <v>13243.854709534999</v>
      </c>
      <c r="AT101" s="97">
        <f t="shared" si="106"/>
        <v>0.31936565806309147</v>
      </c>
      <c r="AU101" s="97">
        <f t="shared" si="107"/>
        <v>0.2109687631630186</v>
      </c>
      <c r="AV101" s="98">
        <f t="shared" si="118"/>
        <v>0.11588545661327854</v>
      </c>
      <c r="AW101" s="4">
        <v>610.66420231300015</v>
      </c>
      <c r="AX101" s="4">
        <f>SUMIFS($AW$3:$AW101,$D$3:$D101,D101)</f>
        <v>1731.681069236</v>
      </c>
      <c r="AY101" s="4">
        <f t="shared" si="97"/>
        <v>7068.7454689520009</v>
      </c>
      <c r="AZ101" s="97">
        <f t="shared" si="108"/>
        <v>0.17202827278005417</v>
      </c>
      <c r="BA101" s="97">
        <f t="shared" si="109"/>
        <v>0.14598288607495435</v>
      </c>
      <c r="BB101" s="97">
        <f t="shared" si="124"/>
        <v>0.13487555826869935</v>
      </c>
      <c r="BC101" s="4">
        <v>411.50478032900003</v>
      </c>
      <c r="BD101" s="4">
        <f t="shared" si="88"/>
        <v>199.15942198400012</v>
      </c>
      <c r="BE101" s="4">
        <v>117.728462971</v>
      </c>
      <c r="BF101" s="4">
        <v>50.899919073000007</v>
      </c>
      <c r="BG101" s="4">
        <f t="shared" si="76"/>
        <v>7.3204395539750235</v>
      </c>
      <c r="BH101" s="4">
        <f>Datos1[[#This Row],[Intereses]]/Datos1[[#This Row],[PIB nominal (miles de millones de G.)]]*100</f>
        <v>3.6018562073371681E-2</v>
      </c>
      <c r="BI101" s="4">
        <v>251.88737192200003</v>
      </c>
      <c r="BJ101" s="4">
        <v>151.114262795</v>
      </c>
      <c r="BK101" s="4">
        <v>68.292849293000003</v>
      </c>
      <c r="BL101" s="56">
        <f t="shared" si="126"/>
        <v>132.03724922999959</v>
      </c>
      <c r="BM101" s="56">
        <f>SUMIFS($BL$3:$BL101,$D$3:$D101,D101)</f>
        <v>1104.6246643739996</v>
      </c>
      <c r="BN101" s="56">
        <f t="shared" si="90"/>
        <v>3829.6019824579998</v>
      </c>
      <c r="BO101" s="100">
        <f t="shared" si="110"/>
        <v>-7.8519244451467851E-2</v>
      </c>
      <c r="BP101" s="100">
        <f t="shared" si="111"/>
        <v>0.39359885568605191</v>
      </c>
      <c r="BQ101" s="100">
        <f t="shared" si="119"/>
        <v>0.59492362984485903</v>
      </c>
      <c r="BR101" s="2">
        <f t="shared" si="78"/>
        <v>9.3434173256096778E-2</v>
      </c>
      <c r="BS101" s="2">
        <f>+Datos1[[#This Row],[RON acumulado 12 meses]]/Datos1[[#This Row],[PIB nominal (miles de millones de G.)]]*100</f>
        <v>2.7099602363540818</v>
      </c>
      <c r="BT101" s="56">
        <v>151.87738189800001</v>
      </c>
      <c r="BU101" s="56">
        <f>SUMIFS($BT$3:$BT101,$D$3:$D101,D101)</f>
        <v>279.400947562</v>
      </c>
      <c r="BV101" s="56">
        <f t="shared" si="98"/>
        <v>2265.4619224449998</v>
      </c>
      <c r="BW101" s="100">
        <f t="shared" si="112"/>
        <v>0.6159721935159943</v>
      </c>
      <c r="BX101" s="100">
        <f t="shared" si="113"/>
        <v>-3.7837423143761706E-3</v>
      </c>
      <c r="BY101" s="100">
        <f t="shared" si="120"/>
        <v>5.1376654324733817E-2</v>
      </c>
      <c r="BZ101" s="56">
        <f t="shared" si="79"/>
        <v>21.843044430105031</v>
      </c>
      <c r="CA101" s="56">
        <f>Datos1[[#This Row],[Adquisición Neta de Activos no Financieros]]/Datos1[[#This Row],[PIB nominal (miles de millones de G.)]]*100</f>
        <v>0.10747374469473529</v>
      </c>
      <c r="CB101" s="56">
        <f>+Datos1[[#This Row],[ANANF acumulado por año]]/Datos1[[#This Row],[PIB nominal (miles de millones de G.)]]*100</f>
        <v>0.19771387767213636</v>
      </c>
      <c r="CC101" s="56">
        <f>+Datos1[[#This Row],[ANANF acumulado 12 meses]]/Datos1[[#This Row],[PIB nominal (miles de millones de G.)]]*100</f>
        <v>1.6031200513583803</v>
      </c>
      <c r="CD101" s="4">
        <v>96.747322936999993</v>
      </c>
      <c r="CE101" s="4">
        <f t="shared" si="80"/>
        <v>13.91422506101574</v>
      </c>
      <c r="CF101" s="4">
        <f t="shared" si="81"/>
        <v>55.130058961000017</v>
      </c>
      <c r="CG101" s="4">
        <f t="shared" si="82"/>
        <v>7.9288193690892879</v>
      </c>
      <c r="CH101" s="56">
        <f t="shared" si="83"/>
        <v>-19.840132668000422</v>
      </c>
      <c r="CI101" s="56">
        <f>SUMIFS($CH$3:$CH101,$D$3:$D101,D101)</f>
        <v>825.22371681199957</v>
      </c>
      <c r="CJ101" s="56">
        <f t="shared" si="91"/>
        <v>1564.1400600129991</v>
      </c>
      <c r="CK101" s="56">
        <f>Datos1[[#This Row],[Resultado Fiscal (miles de millones de G.)]]*1000/$F$207</f>
        <v>-2.8534130227327692</v>
      </c>
      <c r="CL101" s="56">
        <f t="shared" si="99"/>
        <v>224.95502884502255</v>
      </c>
      <c r="CM101" s="100">
        <f t="shared" si="114"/>
        <v>-1.4024124527533484</v>
      </c>
      <c r="CN101" s="100">
        <f t="shared" si="115"/>
        <v>0.61119980987959344</v>
      </c>
      <c r="CO101" s="100">
        <f t="shared" si="121"/>
        <v>5.3489588274459452</v>
      </c>
      <c r="CP101" s="4">
        <f t="shared" si="84"/>
        <v>-1.4039571438638512E-2</v>
      </c>
      <c r="CQ101" s="4">
        <f t="shared" si="92"/>
        <v>1.1068401849957006</v>
      </c>
      <c r="CR101" s="73">
        <v>671.75204337100001</v>
      </c>
      <c r="CS101" s="113">
        <f>SUM(Datos1[[#This Row],[FFPP]:[MTESS]])</f>
        <v>0</v>
      </c>
      <c r="CT101" s="113"/>
      <c r="CU101" s="113"/>
      <c r="CV101" s="113"/>
      <c r="CW101" s="113"/>
      <c r="CX101" s="113"/>
      <c r="CY101" s="113"/>
      <c r="CZ101" s="113"/>
    </row>
    <row r="102" spans="1:104">
      <c r="A102">
        <v>100</v>
      </c>
      <c r="B102" s="3">
        <v>40634</v>
      </c>
      <c r="C102" s="14" t="str">
        <f t="shared" si="66"/>
        <v>Abril</v>
      </c>
      <c r="D102" s="14">
        <f t="shared" si="85"/>
        <v>2011</v>
      </c>
      <c r="E102" s="15">
        <f t="shared" si="67"/>
        <v>141315.79980709453</v>
      </c>
      <c r="F102" s="15">
        <f t="shared" si="125"/>
        <v>4196.178620091895</v>
      </c>
      <c r="G102" s="56">
        <v>1533.9288576629999</v>
      </c>
      <c r="H102" s="4">
        <f t="shared" si="86"/>
        <v>1.0854616821027194</v>
      </c>
      <c r="I102" s="4">
        <f>SUMIFS($G$3:$G102,$D$3:$D102,D102)</f>
        <v>5619.5348198470001</v>
      </c>
      <c r="J102" s="2">
        <f t="shared" si="93"/>
        <v>17298.052367062999</v>
      </c>
      <c r="K102" s="95">
        <f t="shared" si="100"/>
        <v>0.23137524115108055</v>
      </c>
      <c r="L102" s="95">
        <f t="shared" si="101"/>
        <v>0.17153439480179622</v>
      </c>
      <c r="M102" s="95">
        <f t="shared" si="116"/>
        <v>0.21413021402097598</v>
      </c>
      <c r="N102" s="4">
        <v>1154.8727038649999</v>
      </c>
      <c r="O102" s="4">
        <f t="shared" si="69"/>
        <v>0.81722829679446896</v>
      </c>
      <c r="P102" s="4">
        <f>SUMIFS($N$3:$N102,$D$3:$D102,D102)</f>
        <v>3908.7233473279998</v>
      </c>
      <c r="Q102" s="4">
        <f t="shared" si="89"/>
        <v>12057.198445210001</v>
      </c>
      <c r="R102" s="97">
        <f t="shared" si="102"/>
        <v>0.14597089173275224</v>
      </c>
      <c r="S102" s="97">
        <f t="shared" si="103"/>
        <v>0.20008000141501081</v>
      </c>
      <c r="T102" s="97">
        <f t="shared" si="117"/>
        <v>0.241654985665537</v>
      </c>
      <c r="U102" s="4">
        <v>662.78352833699989</v>
      </c>
      <c r="V102" s="4">
        <f t="shared" si="94"/>
        <v>5546.1477855369994</v>
      </c>
      <c r="W102" s="97">
        <f t="shared" si="122"/>
        <v>0.12112587117155127</v>
      </c>
      <c r="X102" s="97">
        <f t="shared" si="104"/>
        <v>0.15631630275926089</v>
      </c>
      <c r="Y102" s="4">
        <v>505.43898183800002</v>
      </c>
      <c r="Z102" s="4">
        <f t="shared" si="95"/>
        <v>6473.6333870569997</v>
      </c>
      <c r="AA102" s="97">
        <f t="shared" si="123"/>
        <v>0.36304571109315464</v>
      </c>
      <c r="AB102" s="97">
        <f t="shared" si="105"/>
        <v>0.11736600292399424</v>
      </c>
      <c r="AC102" s="4">
        <v>128.778297493</v>
      </c>
      <c r="AD102" s="4">
        <f t="shared" si="70"/>
        <v>9.1128025081973096E-2</v>
      </c>
      <c r="AE102" s="4">
        <v>80.133930792000015</v>
      </c>
      <c r="AF102" s="4">
        <f t="shared" si="71"/>
        <v>5.670557071565116E-2</v>
      </c>
      <c r="AG102" s="4">
        <v>170.14392551299997</v>
      </c>
      <c r="AH102" s="4">
        <f t="shared" si="72"/>
        <v>40.547350558035554</v>
      </c>
      <c r="AI102" s="4">
        <v>95.469808026999999</v>
      </c>
      <c r="AJ102" s="4">
        <f t="shared" si="73"/>
        <v>13.730492535536783</v>
      </c>
      <c r="AK102" s="101">
        <f>SUMIFS($AJ$3:$AJ102,$D$3:$D102,D102)</f>
        <v>68.590695810851415</v>
      </c>
      <c r="AL102" s="4">
        <v>0</v>
      </c>
      <c r="AM102" s="4">
        <f t="shared" si="74"/>
        <v>0</v>
      </c>
      <c r="AN102" s="101">
        <f>SUMIFS($AM$3:$AM102,$D$3:$D102,D102)</f>
        <v>0</v>
      </c>
      <c r="AO102" s="4">
        <f t="shared" si="87"/>
        <v>74.674117485999972</v>
      </c>
      <c r="AP102" s="56">
        <v>1192.4454228780003</v>
      </c>
      <c r="AQ102" s="4">
        <f t="shared" si="75"/>
        <v>0.84381606621889949</v>
      </c>
      <c r="AR102" s="4">
        <f>SUMIFS($AP$3:$AP102,$D$3:$D102,D102)</f>
        <v>4173.4267206880004</v>
      </c>
      <c r="AS102" s="4">
        <f t="shared" si="96"/>
        <v>13451.076546374999</v>
      </c>
      <c r="AT102" s="97">
        <f t="shared" si="106"/>
        <v>0.21032975638892992</v>
      </c>
      <c r="AU102" s="97">
        <f t="shared" si="107"/>
        <v>0.21078611517102641</v>
      </c>
      <c r="AV102" s="98">
        <f t="shared" si="118"/>
        <v>0.1203936586428036</v>
      </c>
      <c r="AW102" s="4">
        <v>591.90366336500017</v>
      </c>
      <c r="AX102" s="4">
        <f>SUMIFS($AW$3:$AW102,$D$3:$D102,D102)</f>
        <v>2323.5847326010003</v>
      </c>
      <c r="AY102" s="4">
        <f t="shared" si="97"/>
        <v>7138.4639656210002</v>
      </c>
      <c r="AZ102" s="97">
        <f t="shared" si="108"/>
        <v>0.13351297799232253</v>
      </c>
      <c r="BA102" s="97">
        <f t="shared" si="109"/>
        <v>0.14278036468793998</v>
      </c>
      <c r="BB102" s="97">
        <f t="shared" si="124"/>
        <v>0.13158061166718116</v>
      </c>
      <c r="BC102" s="4">
        <v>413.02457886100001</v>
      </c>
      <c r="BD102" s="4">
        <f t="shared" si="88"/>
        <v>178.87908450400016</v>
      </c>
      <c r="BE102" s="4">
        <v>171.12479491599998</v>
      </c>
      <c r="BF102" s="4">
        <v>14.627787689</v>
      </c>
      <c r="BG102" s="4">
        <f t="shared" si="76"/>
        <v>2.1037722168502691</v>
      </c>
      <c r="BH102" s="4">
        <f>Datos1[[#This Row],[Intereses]]/Datos1[[#This Row],[PIB nominal (miles de millones de G.)]]*100</f>
        <v>1.0351133920600459E-2</v>
      </c>
      <c r="BI102" s="4">
        <v>180.04681581</v>
      </c>
      <c r="BJ102" s="4">
        <v>179.17255342499999</v>
      </c>
      <c r="BK102" s="4">
        <v>55.569807673</v>
      </c>
      <c r="BL102" s="56">
        <f t="shared" si="126"/>
        <v>341.48343478499964</v>
      </c>
      <c r="BM102" s="56">
        <f>SUMIFS($BL$3:$BL102,$D$3:$D102,D102)</f>
        <v>1446.1080991589993</v>
      </c>
      <c r="BN102" s="56">
        <f t="shared" si="90"/>
        <v>3846.9758206879992</v>
      </c>
      <c r="BO102" s="100">
        <f t="shared" si="110"/>
        <v>5.3604825079751395E-2</v>
      </c>
      <c r="BP102" s="100">
        <f t="shared" si="111"/>
        <v>0.29492395692237428</v>
      </c>
      <c r="BQ102" s="100">
        <f t="shared" si="119"/>
        <v>0.71616690460310251</v>
      </c>
      <c r="BR102" s="2">
        <f t="shared" si="78"/>
        <v>0.24164561588381994</v>
      </c>
      <c r="BS102" s="2">
        <f>+Datos1[[#This Row],[RON acumulado 12 meses]]/Datos1[[#This Row],[PIB nominal (miles de millones de G.)]]*100</f>
        <v>2.7222545716327384</v>
      </c>
      <c r="BT102" s="56">
        <v>112.804719017</v>
      </c>
      <c r="BU102" s="56">
        <f>SUMIFS($BT$3:$BT102,$D$3:$D102,D102)</f>
        <v>392.20566657899997</v>
      </c>
      <c r="BV102" s="56">
        <f t="shared" si="98"/>
        <v>2249.1272504869999</v>
      </c>
      <c r="BW102" s="100">
        <f t="shared" si="112"/>
        <v>-0.12648868664064106</v>
      </c>
      <c r="BX102" s="100">
        <f t="shared" si="113"/>
        <v>-4.2470222771975319E-2</v>
      </c>
      <c r="BY102" s="100">
        <f t="shared" si="120"/>
        <v>3.7531889823303466E-2</v>
      </c>
      <c r="BZ102" s="56">
        <f t="shared" si="79"/>
        <v>16.223603927203932</v>
      </c>
      <c r="CA102" s="56">
        <f>Datos1[[#This Row],[Adquisición Neta de Activos no Financieros]]/Datos1[[#This Row],[PIB nominal (miles de millones de G.)]]*100</f>
        <v>7.9824562554920209E-2</v>
      </c>
      <c r="CB102" s="56">
        <f>+Datos1[[#This Row],[ANANF acumulado por año]]/Datos1[[#This Row],[PIB nominal (miles de millones de G.)]]*100</f>
        <v>0.27753844022705654</v>
      </c>
      <c r="CC102" s="56">
        <f>+Datos1[[#This Row],[ANANF acumulado 12 meses]]/Datos1[[#This Row],[PIB nominal (miles de millones de G.)]]*100</f>
        <v>1.5915610664605149</v>
      </c>
      <c r="CD102" s="4">
        <v>79.841647855999994</v>
      </c>
      <c r="CE102" s="4">
        <f t="shared" si="80"/>
        <v>11.482846489035859</v>
      </c>
      <c r="CF102" s="4">
        <f t="shared" si="81"/>
        <v>32.963071161000002</v>
      </c>
      <c r="CG102" s="4">
        <f t="shared" si="82"/>
        <v>4.7407574381680737</v>
      </c>
      <c r="CH102" s="56">
        <f t="shared" si="83"/>
        <v>228.67871576799965</v>
      </c>
      <c r="CI102" s="56">
        <f>SUMIFS($CH$3:$CH102,$D$3:$D102,D102)</f>
        <v>1053.9024325799992</v>
      </c>
      <c r="CJ102" s="56">
        <f t="shared" si="91"/>
        <v>1597.8485702009991</v>
      </c>
      <c r="CK102" s="56">
        <f>Datos1[[#This Row],[Resultado Fiscal (miles de millones de G.)]]*1000/$F$207</f>
        <v>32.888632173646606</v>
      </c>
      <c r="CL102" s="56">
        <f t="shared" si="99"/>
        <v>229.80299551726617</v>
      </c>
      <c r="CM102" s="100">
        <f t="shared" si="114"/>
        <v>0.17289057108865968</v>
      </c>
      <c r="CN102" s="100">
        <f t="shared" si="115"/>
        <v>0.49035237625227523</v>
      </c>
      <c r="CO102" s="100">
        <f t="shared" si="121"/>
        <v>20.638600280615339</v>
      </c>
      <c r="CP102" s="4">
        <f t="shared" si="84"/>
        <v>0.16182105332889976</v>
      </c>
      <c r="CQ102" s="4">
        <f t="shared" si="92"/>
        <v>1.1306935051722233</v>
      </c>
      <c r="CR102" s="73">
        <v>637.31319055300003</v>
      </c>
      <c r="CS102" s="113">
        <f>SUM(Datos1[[#This Row],[FFPP]:[MTESS]])</f>
        <v>0</v>
      </c>
      <c r="CT102" s="113"/>
      <c r="CU102" s="113"/>
      <c r="CV102" s="113"/>
      <c r="CW102" s="113"/>
      <c r="CX102" s="113"/>
      <c r="CY102" s="113"/>
      <c r="CZ102" s="113"/>
    </row>
    <row r="103" spans="1:104">
      <c r="A103">
        <v>101</v>
      </c>
      <c r="B103" s="3">
        <v>40664</v>
      </c>
      <c r="C103" s="14" t="str">
        <f t="shared" si="66"/>
        <v>Mayo</v>
      </c>
      <c r="D103" s="14">
        <f t="shared" si="85"/>
        <v>2011</v>
      </c>
      <c r="E103" s="15">
        <f t="shared" si="67"/>
        <v>141315.79980709453</v>
      </c>
      <c r="F103" s="15">
        <f t="shared" si="125"/>
        <v>4196.178620091895</v>
      </c>
      <c r="G103" s="56">
        <v>1733.6074537179998</v>
      </c>
      <c r="H103" s="4">
        <f t="shared" si="86"/>
        <v>1.2267612369490808</v>
      </c>
      <c r="I103" s="4">
        <f>SUMIFS($G$3:$G103,$D$3:$D103,D103)</f>
        <v>7353.1422735649994</v>
      </c>
      <c r="J103" s="2">
        <f t="shared" si="93"/>
        <v>17495.008246712998</v>
      </c>
      <c r="K103" s="95">
        <f t="shared" si="100"/>
        <v>0.20537851014103481</v>
      </c>
      <c r="L103" s="95">
        <f t="shared" si="101"/>
        <v>0.12817211329735301</v>
      </c>
      <c r="M103" s="95">
        <f t="shared" si="116"/>
        <v>0.19913353798453248</v>
      </c>
      <c r="N103" s="4">
        <v>1293.9471212219999</v>
      </c>
      <c r="O103" s="4">
        <f t="shared" si="69"/>
        <v>0.91564221621950537</v>
      </c>
      <c r="P103" s="4">
        <f>SUMIFS($N$3:$N103,$D$3:$D103,D103)</f>
        <v>5202.6704685499999</v>
      </c>
      <c r="Q103" s="4">
        <f t="shared" si="89"/>
        <v>12243.107723964</v>
      </c>
      <c r="R103" s="97">
        <f t="shared" si="102"/>
        <v>0.16778242730402848</v>
      </c>
      <c r="S103" s="97">
        <f t="shared" si="103"/>
        <v>0.19188156036562987</v>
      </c>
      <c r="T103" s="97">
        <f t="shared" si="117"/>
        <v>0.23216018189324372</v>
      </c>
      <c r="U103" s="4">
        <v>746.13892681200002</v>
      </c>
      <c r="V103" s="4">
        <f t="shared" si="94"/>
        <v>5689.3628685970007</v>
      </c>
      <c r="W103" s="97">
        <f t="shared" si="122"/>
        <v>0.14916523801025861</v>
      </c>
      <c r="X103" s="97">
        <f t="shared" si="104"/>
        <v>0.2375342832168843</v>
      </c>
      <c r="Y103" s="4">
        <v>565.57073255499995</v>
      </c>
      <c r="Z103" s="4">
        <f t="shared" si="95"/>
        <v>6565.1046152560002</v>
      </c>
      <c r="AA103" s="97">
        <f t="shared" si="123"/>
        <v>0.32034398211938564</v>
      </c>
      <c r="AB103" s="97">
        <f t="shared" si="105"/>
        <v>0.192936772467736</v>
      </c>
      <c r="AC103" s="4">
        <v>132.01360260799999</v>
      </c>
      <c r="AD103" s="4">
        <f t="shared" si="70"/>
        <v>9.3417440079741496E-2</v>
      </c>
      <c r="AE103" s="4">
        <v>57.674501704999997</v>
      </c>
      <c r="AF103" s="4">
        <f t="shared" si="71"/>
        <v>4.0812493566699214E-2</v>
      </c>
      <c r="AG103" s="4">
        <v>249.97222818299997</v>
      </c>
      <c r="AH103" s="4">
        <f t="shared" si="72"/>
        <v>59.571398363763088</v>
      </c>
      <c r="AI103" s="4">
        <v>95.243968615</v>
      </c>
      <c r="AJ103" s="4">
        <f t="shared" si="73"/>
        <v>13.698012252766979</v>
      </c>
      <c r="AK103" s="101">
        <f>SUMIFS($AJ$3:$AJ103,$D$3:$D103,D103)</f>
        <v>82.288708063618401</v>
      </c>
      <c r="AL103" s="4">
        <v>0</v>
      </c>
      <c r="AM103" s="4">
        <f t="shared" si="74"/>
        <v>0</v>
      </c>
      <c r="AN103" s="101">
        <f>SUMIFS($AM$3:$AM103,$D$3:$D103,D103)</f>
        <v>0</v>
      </c>
      <c r="AO103" s="4">
        <f t="shared" si="87"/>
        <v>154.72825956799997</v>
      </c>
      <c r="AP103" s="56">
        <v>1165.6688305330003</v>
      </c>
      <c r="AQ103" s="4">
        <f t="shared" si="75"/>
        <v>0.8248680134310642</v>
      </c>
      <c r="AR103" s="4">
        <f>SUMIFS($AP$3:$AP103,$D$3:$D103,D103)</f>
        <v>5339.0955512210003</v>
      </c>
      <c r="AS103" s="4">
        <f t="shared" si="96"/>
        <v>13711.703669476001</v>
      </c>
      <c r="AT103" s="97">
        <f t="shared" si="106"/>
        <v>0.28797250000832975</v>
      </c>
      <c r="AU103" s="97">
        <f t="shared" si="107"/>
        <v>0.22683810429685924</v>
      </c>
      <c r="AV103" s="98">
        <f t="shared" si="118"/>
        <v>0.14248459118178114</v>
      </c>
      <c r="AW103" s="4">
        <v>615.07388026800015</v>
      </c>
      <c r="AX103" s="4">
        <f>SUMIFS($AW$3:$AW103,$D$3:$D103,D103)</f>
        <v>2938.6586128690005</v>
      </c>
      <c r="AY103" s="4">
        <f t="shared" si="97"/>
        <v>7234.9874323290014</v>
      </c>
      <c r="AZ103" s="97">
        <f t="shared" si="108"/>
        <v>0.18614095020258192</v>
      </c>
      <c r="BA103" s="97">
        <f t="shared" si="109"/>
        <v>0.15159157291377956</v>
      </c>
      <c r="BB103" s="97">
        <f t="shared" si="124"/>
        <v>0.13448710614351711</v>
      </c>
      <c r="BC103" s="4">
        <v>413.40000212199999</v>
      </c>
      <c r="BD103" s="4">
        <f t="shared" si="88"/>
        <v>201.67387814600016</v>
      </c>
      <c r="BE103" s="4">
        <v>130.33887503699998</v>
      </c>
      <c r="BF103" s="4">
        <v>30.874367117000002</v>
      </c>
      <c r="BG103" s="4">
        <f t="shared" si="76"/>
        <v>4.4403594811827967</v>
      </c>
      <c r="BH103" s="4">
        <f>Datos1[[#This Row],[Intereses]]/Datos1[[#This Row],[PIB nominal (miles de millones de G.)]]*100</f>
        <v>2.1847781464737537E-2</v>
      </c>
      <c r="BI103" s="4">
        <v>199.15728811800003</v>
      </c>
      <c r="BJ103" s="4">
        <v>162.27479966800001</v>
      </c>
      <c r="BK103" s="4">
        <v>27.949620325000001</v>
      </c>
      <c r="BL103" s="56">
        <f t="shared" si="126"/>
        <v>567.93862318499941</v>
      </c>
      <c r="BM103" s="56">
        <f>SUMIFS($BL$3:$BL103,$D$3:$D103,D103)</f>
        <v>2014.0467223439987</v>
      </c>
      <c r="BN103" s="56">
        <f t="shared" si="90"/>
        <v>3783.3045772369983</v>
      </c>
      <c r="BO103" s="100">
        <f t="shared" si="110"/>
        <v>-0.10080786703051114</v>
      </c>
      <c r="BP103" s="100">
        <f t="shared" si="111"/>
        <v>0.15196258273363417</v>
      </c>
      <c r="BQ103" s="100">
        <f t="shared" si="119"/>
        <v>0.46183313266457415</v>
      </c>
      <c r="BR103" s="2">
        <f t="shared" si="78"/>
        <v>0.40189322351801671</v>
      </c>
      <c r="BS103" s="2">
        <f>+Datos1[[#This Row],[RON acumulado 12 meses]]/Datos1[[#This Row],[PIB nominal (miles de millones de G.)]]*100</f>
        <v>2.677198573975069</v>
      </c>
      <c r="BT103" s="56">
        <v>221.02686007799997</v>
      </c>
      <c r="BU103" s="56">
        <f>SUMIFS($BT$3:$BT103,$D$3:$D103,D103)</f>
        <v>613.23252665699988</v>
      </c>
      <c r="BV103" s="56">
        <f t="shared" si="98"/>
        <v>2330.4910929529997</v>
      </c>
      <c r="BW103" s="100">
        <f t="shared" si="112"/>
        <v>0.582572565430586</v>
      </c>
      <c r="BX103" s="100">
        <f t="shared" si="113"/>
        <v>0.1164611364771142</v>
      </c>
      <c r="BY103" s="100">
        <f t="shared" si="120"/>
        <v>6.9129349182486033E-2</v>
      </c>
      <c r="BZ103" s="56">
        <f t="shared" si="79"/>
        <v>31.788140305004408</v>
      </c>
      <c r="CA103" s="56">
        <f>Datos1[[#This Row],[Adquisición Neta de Activos no Financieros]]/Datos1[[#This Row],[PIB nominal (miles de millones de G.)]]*100</f>
        <v>0.15640633275240018</v>
      </c>
      <c r="CB103" s="56">
        <f>+Datos1[[#This Row],[ANANF acumulado por año]]/Datos1[[#This Row],[PIB nominal (miles de millones de G.)]]*100</f>
        <v>0.43394477297945672</v>
      </c>
      <c r="CC103" s="56">
        <f>+Datos1[[#This Row],[ANANF acumulado 12 meses]]/Datos1[[#This Row],[PIB nominal (miles de millones de G.)]]*100</f>
        <v>1.6491369656714077</v>
      </c>
      <c r="CD103" s="4">
        <v>106.05382996699998</v>
      </c>
      <c r="CE103" s="4">
        <f t="shared" si="80"/>
        <v>15.252689314250617</v>
      </c>
      <c r="CF103" s="4">
        <f t="shared" si="81"/>
        <v>114.97303011099999</v>
      </c>
      <c r="CG103" s="4">
        <f t="shared" si="82"/>
        <v>16.535450990753791</v>
      </c>
      <c r="CH103" s="56">
        <f t="shared" si="83"/>
        <v>346.91176310699944</v>
      </c>
      <c r="CI103" s="56">
        <f>SUMIFS($CH$3:$CH103,$D$3:$D103,D103)</f>
        <v>1400.8141956869986</v>
      </c>
      <c r="CJ103" s="56">
        <f t="shared" si="91"/>
        <v>1452.8134842839984</v>
      </c>
      <c r="CK103" s="56">
        <f>Datos1[[#This Row],[Resultado Fiscal (miles de millones de G.)]]*1000/$F$207</f>
        <v>49.892939687104558</v>
      </c>
      <c r="CL103" s="56">
        <f t="shared" si="99"/>
        <v>208.94401186862282</v>
      </c>
      <c r="CM103" s="100">
        <f t="shared" si="114"/>
        <v>-0.29481860937770754</v>
      </c>
      <c r="CN103" s="100">
        <f t="shared" si="115"/>
        <v>0.16822456252510531</v>
      </c>
      <c r="CO103" s="100">
        <f t="shared" si="121"/>
        <v>2.5586170196793345</v>
      </c>
      <c r="CP103" s="4">
        <f t="shared" si="84"/>
        <v>0.2454868907656165</v>
      </c>
      <c r="CQ103" s="4">
        <f t="shared" si="92"/>
        <v>1.0280616083036613</v>
      </c>
      <c r="CR103" s="73">
        <v>659.84016377900002</v>
      </c>
      <c r="CS103" s="113">
        <f>SUM(Datos1[[#This Row],[FFPP]:[MTESS]])</f>
        <v>0</v>
      </c>
      <c r="CT103" s="113"/>
      <c r="CU103" s="113"/>
      <c r="CV103" s="113"/>
      <c r="CW103" s="113"/>
      <c r="CX103" s="113"/>
      <c r="CY103" s="113"/>
      <c r="CZ103" s="113"/>
    </row>
    <row r="104" spans="1:104">
      <c r="A104">
        <v>102</v>
      </c>
      <c r="B104" s="3">
        <v>40695</v>
      </c>
      <c r="C104" s="14" t="str">
        <f t="shared" si="66"/>
        <v>Junio</v>
      </c>
      <c r="D104" s="14">
        <f t="shared" si="85"/>
        <v>2011</v>
      </c>
      <c r="E104" s="15">
        <f t="shared" si="67"/>
        <v>141315.79980709453</v>
      </c>
      <c r="F104" s="15">
        <f t="shared" si="125"/>
        <v>4196.178620091895</v>
      </c>
      <c r="G104" s="56">
        <v>1404.5063388080002</v>
      </c>
      <c r="H104" s="4">
        <f t="shared" si="86"/>
        <v>0.99387778346458411</v>
      </c>
      <c r="I104" s="4">
        <f>SUMIFS($G$3:$G104,$D$3:$D104,D104)</f>
        <v>8757.6486123729992</v>
      </c>
      <c r="J104" s="2">
        <f t="shared" si="93"/>
        <v>17550.800449410999</v>
      </c>
      <c r="K104" s="95">
        <f t="shared" si="100"/>
        <v>0.1756825813700198</v>
      </c>
      <c r="L104" s="95">
        <f t="shared" si="101"/>
        <v>4.1366959242317813E-2</v>
      </c>
      <c r="M104" s="95">
        <f t="shared" si="116"/>
        <v>0.17494193508559275</v>
      </c>
      <c r="N104" s="4">
        <v>1053.815826925</v>
      </c>
      <c r="O104" s="4">
        <f t="shared" si="69"/>
        <v>0.74571691796920703</v>
      </c>
      <c r="P104" s="4">
        <f>SUMIFS($N$3:$N104,$D$3:$D104,D104)</f>
        <v>6256.4862954749997</v>
      </c>
      <c r="Q104" s="4">
        <f t="shared" si="89"/>
        <v>12337.996205092999</v>
      </c>
      <c r="R104" s="97">
        <f t="shared" si="102"/>
        <v>9.8952732493235551E-2</v>
      </c>
      <c r="S104" s="97">
        <f t="shared" si="103"/>
        <v>0.175143825337988</v>
      </c>
      <c r="T104" s="97">
        <f t="shared" si="117"/>
        <v>0.20715877851288766</v>
      </c>
      <c r="U104" s="4">
        <v>453.388693612</v>
      </c>
      <c r="V104" s="4">
        <f t="shared" si="94"/>
        <v>5684.7500658630006</v>
      </c>
      <c r="W104" s="97">
        <f t="shared" si="122"/>
        <v>0.11442845111862532</v>
      </c>
      <c r="X104" s="97">
        <f t="shared" si="104"/>
        <v>-1.0071588784756336E-2</v>
      </c>
      <c r="Y104" s="4">
        <v>564.72105083299994</v>
      </c>
      <c r="Z104" s="4">
        <f t="shared" si="95"/>
        <v>6632.7850101650001</v>
      </c>
      <c r="AA104" s="97">
        <f t="shared" si="123"/>
        <v>0.30365536294187567</v>
      </c>
      <c r="AB104" s="97">
        <f t="shared" si="105"/>
        <v>0.13616671815946679</v>
      </c>
      <c r="AC104" s="4">
        <v>95.355346682000004</v>
      </c>
      <c r="AD104" s="4">
        <f t="shared" si="70"/>
        <v>6.7476776703076655E-2</v>
      </c>
      <c r="AE104" s="4">
        <v>80.961959204999999</v>
      </c>
      <c r="AF104" s="4">
        <f t="shared" si="71"/>
        <v>5.7291512566548443E-2</v>
      </c>
      <c r="AG104" s="4">
        <v>174.373205996</v>
      </c>
      <c r="AH104" s="4">
        <f t="shared" si="72"/>
        <v>41.555239131403155</v>
      </c>
      <c r="AI104" s="4">
        <v>78.971872789999992</v>
      </c>
      <c r="AJ104" s="4">
        <f t="shared" si="73"/>
        <v>11.357755213604243</v>
      </c>
      <c r="AK104" s="101">
        <f>SUMIFS($AJ$3:$AJ104,$D$3:$D104,D104)</f>
        <v>93.646463277222637</v>
      </c>
      <c r="AL104" s="4">
        <v>0</v>
      </c>
      <c r="AM104" s="4">
        <f t="shared" si="74"/>
        <v>0</v>
      </c>
      <c r="AN104" s="101">
        <f>SUMIFS($AM$3:$AM104,$D$3:$D104,D104)</f>
        <v>0</v>
      </c>
      <c r="AO104" s="4">
        <f t="shared" si="87"/>
        <v>95.401333206000004</v>
      </c>
      <c r="AP104" s="56">
        <v>1197.5415645380001</v>
      </c>
      <c r="AQ104" s="4">
        <f t="shared" si="75"/>
        <v>0.8474222742062274</v>
      </c>
      <c r="AR104" s="4">
        <f>SUMIFS($AP$3:$AP104,$D$3:$D104,D104)</f>
        <v>6536.6371157590002</v>
      </c>
      <c r="AS104" s="4">
        <f t="shared" si="96"/>
        <v>13775.083453962001</v>
      </c>
      <c r="AT104" s="97">
        <f t="shared" si="106"/>
        <v>5.58824901356616E-2</v>
      </c>
      <c r="AU104" s="97">
        <f t="shared" si="107"/>
        <v>0.19149566928480932</v>
      </c>
      <c r="AV104" s="98">
        <f t="shared" si="118"/>
        <v>0.12706228408399256</v>
      </c>
      <c r="AW104" s="4">
        <v>620.69462413899998</v>
      </c>
      <c r="AX104" s="4">
        <f>SUMIFS($AW$3:$AW104,$D$3:$D104,D104)</f>
        <v>3559.3532370080006</v>
      </c>
      <c r="AY104" s="4">
        <f t="shared" si="97"/>
        <v>7331.689159736</v>
      </c>
      <c r="AZ104" s="97">
        <f t="shared" si="108"/>
        <v>0.18454778301404917</v>
      </c>
      <c r="BA104" s="97">
        <f t="shared" si="109"/>
        <v>0.15720595846759533</v>
      </c>
      <c r="BB104" s="97">
        <f t="shared" si="124"/>
        <v>0.13728792617088614</v>
      </c>
      <c r="BC104" s="4">
        <v>412.98876706300001</v>
      </c>
      <c r="BD104" s="4">
        <f t="shared" si="88"/>
        <v>207.70585707599997</v>
      </c>
      <c r="BE104" s="4">
        <v>122.97790912399999</v>
      </c>
      <c r="BF104" s="4">
        <v>2.7841505829999997</v>
      </c>
      <c r="BG104" s="4">
        <f t="shared" si="76"/>
        <v>0.40041725847904308</v>
      </c>
      <c r="BH104" s="4">
        <f>Datos1[[#This Row],[Intereses]]/Datos1[[#This Row],[PIB nominal (miles de millones de G.)]]*100</f>
        <v>1.9701622796605548E-3</v>
      </c>
      <c r="BI104" s="4">
        <v>220.50434337600004</v>
      </c>
      <c r="BJ104" s="4">
        <v>143.44496258699999</v>
      </c>
      <c r="BK104" s="4">
        <v>87.135574728999984</v>
      </c>
      <c r="BL104" s="56">
        <f t="shared" si="126"/>
        <v>206.96477427000013</v>
      </c>
      <c r="BM104" s="56">
        <f>SUMIFS($BL$3:$BL104,$D$3:$D104,D104)</f>
        <v>2221.011496613999</v>
      </c>
      <c r="BN104" s="56">
        <f t="shared" si="90"/>
        <v>3775.7169954489982</v>
      </c>
      <c r="BO104" s="100">
        <f t="shared" si="110"/>
        <v>-3.5364709702600083E-2</v>
      </c>
      <c r="BP104" s="100">
        <f t="shared" si="111"/>
        <v>0.13148714654758864</v>
      </c>
      <c r="BQ104" s="100">
        <f t="shared" si="119"/>
        <v>0.39044395868774107</v>
      </c>
      <c r="BR104" s="2">
        <f t="shared" si="78"/>
        <v>0.14645550925835668</v>
      </c>
      <c r="BS104" s="2">
        <f>+Datos1[[#This Row],[RON acumulado 12 meses]]/Datos1[[#This Row],[PIB nominal (miles de millones de G.)]]*100</f>
        <v>2.6718293358584835</v>
      </c>
      <c r="BT104" s="56">
        <v>104.63789867200001</v>
      </c>
      <c r="BU104" s="56">
        <f>SUMIFS($BT$3:$BT104,$D$3:$D104,D104)</f>
        <v>717.87042532899989</v>
      </c>
      <c r="BV104" s="56">
        <f t="shared" si="98"/>
        <v>2288.276791454</v>
      </c>
      <c r="BW104" s="100">
        <f t="shared" si="112"/>
        <v>-0.28746114426507829</v>
      </c>
      <c r="BX104" s="100">
        <f t="shared" si="113"/>
        <v>3.1250034479758604E-2</v>
      </c>
      <c r="BY104" s="100">
        <f t="shared" si="120"/>
        <v>4.1247395719570923E-2</v>
      </c>
      <c r="BZ104" s="56">
        <f t="shared" si="79"/>
        <v>15.049049708404423</v>
      </c>
      <c r="CA104" s="56">
        <f>Datos1[[#This Row],[Adquisición Neta de Activos no Financieros]]/Datos1[[#This Row],[PIB nominal (miles de millones de G.)]]*100</f>
        <v>7.4045434986631145E-2</v>
      </c>
      <c r="CB104" s="56">
        <f>+Datos1[[#This Row],[ANANF acumulado por año]]/Datos1[[#This Row],[PIB nominal (miles de millones de G.)]]*100</f>
        <v>0.50799020796608785</v>
      </c>
      <c r="CC104" s="56">
        <f>+Datos1[[#This Row],[ANANF acumulado 12 meses]]/Datos1[[#This Row],[PIB nominal (miles de millones de G.)]]*100</f>
        <v>1.6192646502214543</v>
      </c>
      <c r="CD104" s="4">
        <v>41.662717998999987</v>
      </c>
      <c r="CE104" s="4">
        <f t="shared" si="80"/>
        <v>5.9919429012956735</v>
      </c>
      <c r="CF104" s="4">
        <f t="shared" si="81"/>
        <v>62.975180673000018</v>
      </c>
      <c r="CG104" s="4">
        <f t="shared" si="82"/>
        <v>9.0571068071087488</v>
      </c>
      <c r="CH104" s="56">
        <f t="shared" si="83"/>
        <v>102.32687559800013</v>
      </c>
      <c r="CI104" s="56">
        <f>SUMIFS($CH$3:$CH104,$D$3:$D104,D104)</f>
        <v>1503.1410712849988</v>
      </c>
      <c r="CJ104" s="56">
        <f t="shared" si="91"/>
        <v>1487.4402039949982</v>
      </c>
      <c r="CK104" s="56">
        <f>Datos1[[#This Row],[Resultado Fiscal (miles de millones de G.)]]*1000/$F$207</f>
        <v>14.716677770901054</v>
      </c>
      <c r="CL104" s="56">
        <f t="shared" si="99"/>
        <v>213.92403567245773</v>
      </c>
      <c r="CM104" s="100">
        <f t="shared" si="114"/>
        <v>0.51147178698962081</v>
      </c>
      <c r="CN104" s="100">
        <f t="shared" si="115"/>
        <v>0.18656838051217473</v>
      </c>
      <c r="CO104" s="100">
        <f t="shared" si="121"/>
        <v>1.8723624195156905</v>
      </c>
      <c r="CP104" s="4">
        <f t="shared" si="84"/>
        <v>7.2410074271725536E-2</v>
      </c>
      <c r="CQ104" s="4">
        <f t="shared" si="92"/>
        <v>1.0525646856370294</v>
      </c>
      <c r="CR104" s="73">
        <v>663.53146162200005</v>
      </c>
      <c r="CS104" s="113">
        <f>SUM(Datos1[[#This Row],[FFPP]:[MTESS]])</f>
        <v>0</v>
      </c>
      <c r="CT104" s="113"/>
      <c r="CU104" s="113"/>
      <c r="CV104" s="113"/>
      <c r="CW104" s="113"/>
      <c r="CX104" s="113"/>
      <c r="CY104" s="113"/>
      <c r="CZ104" s="113"/>
    </row>
    <row r="105" spans="1:104">
      <c r="A105">
        <v>103</v>
      </c>
      <c r="B105" s="3">
        <v>40725</v>
      </c>
      <c r="C105" s="14" t="str">
        <f t="shared" si="66"/>
        <v>Julio</v>
      </c>
      <c r="D105" s="14">
        <f t="shared" si="85"/>
        <v>2011</v>
      </c>
      <c r="E105" s="15">
        <f t="shared" si="67"/>
        <v>141315.79980709453</v>
      </c>
      <c r="F105" s="15">
        <f t="shared" si="125"/>
        <v>4196.178620091895</v>
      </c>
      <c r="G105" s="56">
        <v>1754.4943487280002</v>
      </c>
      <c r="H105" s="4">
        <f t="shared" si="86"/>
        <v>1.241541534013183</v>
      </c>
      <c r="I105" s="4">
        <f>SUMIFS($G$3:$G105,$D$3:$D105,D105)</f>
        <v>10512.142961100999</v>
      </c>
      <c r="J105" s="2">
        <f t="shared" si="93"/>
        <v>17975.383256325</v>
      </c>
      <c r="K105" s="95">
        <f t="shared" si="100"/>
        <v>0.19743251194668821</v>
      </c>
      <c r="L105" s="95">
        <f t="shared" si="101"/>
        <v>0.31925642688600853</v>
      </c>
      <c r="M105" s="95">
        <f t="shared" si="116"/>
        <v>0.20193687178339692</v>
      </c>
      <c r="N105" s="4">
        <v>1257.7242505410002</v>
      </c>
      <c r="O105" s="4">
        <f t="shared" si="69"/>
        <v>0.89000964666221138</v>
      </c>
      <c r="P105" s="4">
        <f>SUMIFS($N$3:$N105,$D$3:$D105,D105)</f>
        <v>7514.2105460160001</v>
      </c>
      <c r="Q105" s="4">
        <f t="shared" si="89"/>
        <v>12587.344006678999</v>
      </c>
      <c r="R105" s="97">
        <f t="shared" si="102"/>
        <v>0.24727650258433176</v>
      </c>
      <c r="S105" s="97">
        <f t="shared" si="103"/>
        <v>0.18663030161836636</v>
      </c>
      <c r="T105" s="97">
        <f t="shared" si="117"/>
        <v>0.21645721448335919</v>
      </c>
      <c r="U105" s="4">
        <v>780.57820478400004</v>
      </c>
      <c r="V105" s="4">
        <f t="shared" si="94"/>
        <v>5927.3023040990001</v>
      </c>
      <c r="W105" s="97">
        <f t="shared" si="122"/>
        <v>0.15804883680654047</v>
      </c>
      <c r="X105" s="97">
        <f t="shared" si="104"/>
        <v>0.45081883276419998</v>
      </c>
      <c r="Y105" s="4">
        <v>499.20519308600007</v>
      </c>
      <c r="Z105" s="4">
        <f t="shared" si="95"/>
        <v>6639.1512572629999</v>
      </c>
      <c r="AA105" s="97">
        <f t="shared" si="123"/>
        <v>0.27586947930219474</v>
      </c>
      <c r="AB105" s="97">
        <f t="shared" si="105"/>
        <v>1.2917500026783824E-2</v>
      </c>
      <c r="AC105" s="4">
        <v>107.508025081</v>
      </c>
      <c r="AD105" s="4">
        <f t="shared" si="70"/>
        <v>7.6076436766274971E-2</v>
      </c>
      <c r="AE105" s="4">
        <v>202.659725229</v>
      </c>
      <c r="AF105" s="4">
        <f t="shared" si="71"/>
        <v>0.14340910606290591</v>
      </c>
      <c r="AG105" s="4">
        <v>186.60234787699997</v>
      </c>
      <c r="AH105" s="4">
        <f t="shared" si="72"/>
        <v>44.469591209373597</v>
      </c>
      <c r="AI105" s="4">
        <v>89.377975933000002</v>
      </c>
      <c r="AJ105" s="4">
        <f t="shared" si="73"/>
        <v>12.854363664818255</v>
      </c>
      <c r="AK105" s="101">
        <f>SUMIFS($AJ$3:$AJ105,$D$3:$D105,D105)</f>
        <v>106.50082694204089</v>
      </c>
      <c r="AL105" s="4">
        <v>0</v>
      </c>
      <c r="AM105" s="4">
        <f t="shared" si="74"/>
        <v>0</v>
      </c>
      <c r="AN105" s="101">
        <f>SUMIFS($AM$3:$AM105,$D$3:$D105,D105)</f>
        <v>0</v>
      </c>
      <c r="AO105" s="4">
        <f t="shared" si="87"/>
        <v>97.224371943999969</v>
      </c>
      <c r="AP105" s="56">
        <v>1146.1850541479998</v>
      </c>
      <c r="AQ105" s="4">
        <f t="shared" si="75"/>
        <v>0.81108061215562488</v>
      </c>
      <c r="AR105" s="4">
        <f>SUMIFS($AP$3:$AP105,$D$3:$D105,D105)</f>
        <v>7682.822169907</v>
      </c>
      <c r="AS105" s="4">
        <f t="shared" si="96"/>
        <v>13973.428403825999</v>
      </c>
      <c r="AT105" s="97">
        <f t="shared" si="106"/>
        <v>0.20925992576968411</v>
      </c>
      <c r="AU105" s="97">
        <f t="shared" si="107"/>
        <v>0.19411268690613226</v>
      </c>
      <c r="AV105" s="98">
        <f t="shared" si="118"/>
        <v>0.14073151605375545</v>
      </c>
      <c r="AW105" s="4">
        <v>607.56679482799984</v>
      </c>
      <c r="AX105" s="4">
        <f>SUMIFS($AW$3:$AW105,$D$3:$D105,D105)</f>
        <v>4166.9200318360008</v>
      </c>
      <c r="AY105" s="4">
        <f t="shared" si="97"/>
        <v>7406.7576362339996</v>
      </c>
      <c r="AZ105" s="97">
        <f t="shared" si="108"/>
        <v>0.1409741099904811</v>
      </c>
      <c r="BA105" s="97">
        <f t="shared" si="109"/>
        <v>0.15481053779711829</v>
      </c>
      <c r="BB105" s="97">
        <f t="shared" si="124"/>
        <v>0.13754921023259414</v>
      </c>
      <c r="BC105" s="4">
        <v>414.76687674200002</v>
      </c>
      <c r="BD105" s="4">
        <f t="shared" si="88"/>
        <v>192.79991808599982</v>
      </c>
      <c r="BE105" s="4">
        <v>108.91443018300001</v>
      </c>
      <c r="BF105" s="4">
        <v>17.472502975000001</v>
      </c>
      <c r="BG105" s="4">
        <f t="shared" si="76"/>
        <v>2.5128999066127116</v>
      </c>
      <c r="BH105" s="4">
        <f>Datos1[[#This Row],[Intereses]]/Datos1[[#This Row],[PIB nominal (miles de millones de G.)]]*100</f>
        <v>1.236415390129846E-2</v>
      </c>
      <c r="BI105" s="4">
        <v>233.117887575</v>
      </c>
      <c r="BJ105" s="4">
        <v>143.34255120699999</v>
      </c>
      <c r="BK105" s="4">
        <v>35.770887380000005</v>
      </c>
      <c r="BL105" s="56">
        <f t="shared" si="126"/>
        <v>608.30929458000037</v>
      </c>
      <c r="BM105" s="56">
        <f>SUMIFS($BL$3:$BL105,$D$3:$D105,D105)</f>
        <v>2829.3207911939994</v>
      </c>
      <c r="BN105" s="56">
        <f t="shared" si="90"/>
        <v>4001.9548524989991</v>
      </c>
      <c r="BO105" s="100">
        <f t="shared" si="110"/>
        <v>0.59213496437361091</v>
      </c>
      <c r="BP105" s="100">
        <f t="shared" si="111"/>
        <v>0.20654109013464672</v>
      </c>
      <c r="BQ105" s="100">
        <f t="shared" si="119"/>
        <v>0.4790205808825565</v>
      </c>
      <c r="BR105" s="2">
        <f t="shared" si="78"/>
        <v>0.43046092185755802</v>
      </c>
      <c r="BS105" s="2">
        <f>+Datos1[[#This Row],[RON acumulado 12 meses]]/Datos1[[#This Row],[PIB nominal (miles de millones de G.)]]*100</f>
        <v>2.8319231522320463</v>
      </c>
      <c r="BT105" s="56">
        <v>124.68399351199999</v>
      </c>
      <c r="BU105" s="56">
        <f>SUMIFS($BT$3:$BT105,$D$3:$D105,D105)</f>
        <v>842.55441884099992</v>
      </c>
      <c r="BV105" s="56">
        <f t="shared" si="98"/>
        <v>2295.3753045530002</v>
      </c>
      <c r="BW105" s="100">
        <f t="shared" si="112"/>
        <v>6.0368959450330273E-2</v>
      </c>
      <c r="BX105" s="100">
        <f t="shared" si="113"/>
        <v>3.545791623552863E-2</v>
      </c>
      <c r="BY105" s="100">
        <f t="shared" si="120"/>
        <v>4.4315199909609859E-2</v>
      </c>
      <c r="BZ105" s="56">
        <f t="shared" si="79"/>
        <v>17.932084264098094</v>
      </c>
      <c r="CA105" s="56">
        <f>Datos1[[#This Row],[Adquisición Neta de Activos no Financieros]]/Datos1[[#This Row],[PIB nominal (miles de millones de G.)]]*100</f>
        <v>8.8230752458112904E-2</v>
      </c>
      <c r="CB105" s="56">
        <f>+Datos1[[#This Row],[ANANF acumulado por año]]/Datos1[[#This Row],[PIB nominal (miles de millones de G.)]]*100</f>
        <v>0.59622096042420081</v>
      </c>
      <c r="CC105" s="56">
        <f>+Datos1[[#This Row],[ANANF acumulado 12 meses]]/Datos1[[#This Row],[PIB nominal (miles de millones de G.)]]*100</f>
        <v>1.624287806237052</v>
      </c>
      <c r="CD105" s="4">
        <v>43.182713863999993</v>
      </c>
      <c r="CE105" s="4">
        <f t="shared" si="80"/>
        <v>6.2105491005720665</v>
      </c>
      <c r="CF105" s="4">
        <f t="shared" si="81"/>
        <v>81.501279647999993</v>
      </c>
      <c r="CG105" s="4">
        <f t="shared" si="82"/>
        <v>11.721535163526029</v>
      </c>
      <c r="CH105" s="56">
        <f t="shared" si="83"/>
        <v>483.6253010680004</v>
      </c>
      <c r="CI105" s="56">
        <f>SUMIFS($CH$3:$CH105,$D$3:$D105,D105)</f>
        <v>1986.7663723529993</v>
      </c>
      <c r="CJ105" s="56">
        <f t="shared" si="91"/>
        <v>1706.5795479459991</v>
      </c>
      <c r="CK105" s="56">
        <f>Datos1[[#This Row],[Resultado Fiscal (miles de millones de G.)]]*1000/$F$207</f>
        <v>69.555116151830134</v>
      </c>
      <c r="CL105" s="56">
        <f t="shared" si="99"/>
        <v>245.44071291884634</v>
      </c>
      <c r="CM105" s="100">
        <f t="shared" si="114"/>
        <v>0.82854812535117239</v>
      </c>
      <c r="CN105" s="100">
        <f t="shared" si="115"/>
        <v>0.29745229295394804</v>
      </c>
      <c r="CO105" s="100">
        <f t="shared" si="121"/>
        <v>2.3604509101676601</v>
      </c>
      <c r="CP105" s="4">
        <f t="shared" si="84"/>
        <v>0.34223016939944512</v>
      </c>
      <c r="CQ105" s="4">
        <f t="shared" si="92"/>
        <v>1.207635345994994</v>
      </c>
      <c r="CR105" s="73">
        <v>645.75240336900004</v>
      </c>
      <c r="CS105" s="113">
        <f>SUM(Datos1[[#This Row],[FFPP]:[MTESS]])</f>
        <v>0</v>
      </c>
      <c r="CT105" s="113"/>
      <c r="CU105" s="113"/>
      <c r="CV105" s="113"/>
      <c r="CW105" s="113"/>
      <c r="CX105" s="113"/>
      <c r="CY105" s="113"/>
      <c r="CZ105" s="113"/>
    </row>
    <row r="106" spans="1:104">
      <c r="A106">
        <v>104</v>
      </c>
      <c r="B106" s="3">
        <v>40756</v>
      </c>
      <c r="C106" s="14" t="str">
        <f t="shared" si="66"/>
        <v>Agosto</v>
      </c>
      <c r="D106" s="14">
        <f t="shared" si="85"/>
        <v>2011</v>
      </c>
      <c r="E106" s="15">
        <f t="shared" si="67"/>
        <v>141315.79980709453</v>
      </c>
      <c r="F106" s="15">
        <f t="shared" si="125"/>
        <v>4196.178620091895</v>
      </c>
      <c r="G106" s="56">
        <v>1406.7394333329999</v>
      </c>
      <c r="H106" s="4">
        <f t="shared" si="86"/>
        <v>0.99545799921402467</v>
      </c>
      <c r="I106" s="4">
        <f>SUMIFS($G$3:$G106,$D$3:$D106,D106)</f>
        <v>11918.882394433998</v>
      </c>
      <c r="J106" s="2">
        <f t="shared" si="93"/>
        <v>18176.840544913</v>
      </c>
      <c r="K106" s="95">
        <f t="shared" si="100"/>
        <v>0.19377627008980514</v>
      </c>
      <c r="L106" s="95">
        <f t="shared" si="101"/>
        <v>0.16714533560988065</v>
      </c>
      <c r="M106" s="95">
        <f t="shared" si="116"/>
        <v>0.20551773307796406</v>
      </c>
      <c r="N106" s="4">
        <v>957.01615771699994</v>
      </c>
      <c r="O106" s="4">
        <f t="shared" si="69"/>
        <v>0.67721808815673179</v>
      </c>
      <c r="P106" s="4">
        <f>SUMIFS($N$3:$N106,$D$3:$D106,D106)</f>
        <v>8471.2267037330002</v>
      </c>
      <c r="Q106" s="4">
        <f t="shared" si="89"/>
        <v>12675.511527787998</v>
      </c>
      <c r="R106" s="97">
        <f t="shared" si="102"/>
        <v>0.10147627261430414</v>
      </c>
      <c r="S106" s="97">
        <f t="shared" si="103"/>
        <v>0.17635624667789296</v>
      </c>
      <c r="T106" s="97">
        <f t="shared" si="117"/>
        <v>0.2090859199375088</v>
      </c>
      <c r="U106" s="4">
        <v>349.05041556999993</v>
      </c>
      <c r="V106" s="4">
        <f t="shared" si="94"/>
        <v>5950.4720017160007</v>
      </c>
      <c r="W106" s="97">
        <f t="shared" si="122"/>
        <v>0.16916105127881642</v>
      </c>
      <c r="X106" s="97">
        <f t="shared" si="104"/>
        <v>7.1098706798423006E-2</v>
      </c>
      <c r="Y106" s="4">
        <v>607.71272058700004</v>
      </c>
      <c r="Z106" s="4">
        <f t="shared" si="95"/>
        <v>6711.4219743859994</v>
      </c>
      <c r="AA106" s="97">
        <f t="shared" si="123"/>
        <v>0.24909113714036901</v>
      </c>
      <c r="AB106" s="97">
        <f t="shared" si="105"/>
        <v>0.134973940511671</v>
      </c>
      <c r="AC106" s="4">
        <v>154.64199951099999</v>
      </c>
      <c r="AD106" s="4">
        <f t="shared" si="70"/>
        <v>0.10943008476199872</v>
      </c>
      <c r="AE106" s="4">
        <v>78.08521211499999</v>
      </c>
      <c r="AF106" s="4">
        <f t="shared" si="71"/>
        <v>5.5255825761586101E-2</v>
      </c>
      <c r="AG106" s="4">
        <v>216.99606398999993</v>
      </c>
      <c r="AH106" s="4">
        <f t="shared" si="72"/>
        <v>51.71278051677595</v>
      </c>
      <c r="AI106" s="4">
        <v>97.270508563999996</v>
      </c>
      <c r="AJ106" s="4">
        <f t="shared" si="73"/>
        <v>13.989469753496866</v>
      </c>
      <c r="AK106" s="101">
        <f>SUMIFS($AJ$3:$AJ106,$D$3:$D106,D106)</f>
        <v>120.49029669553775</v>
      </c>
      <c r="AL106" s="4">
        <v>0</v>
      </c>
      <c r="AM106" s="4">
        <f t="shared" si="74"/>
        <v>0</v>
      </c>
      <c r="AN106" s="101">
        <f>SUMIFS($AM$3:$AM106,$D$3:$D106,D106)</f>
        <v>0</v>
      </c>
      <c r="AO106" s="4">
        <f t="shared" si="87"/>
        <v>119.72555542599993</v>
      </c>
      <c r="AP106" s="56">
        <v>1339.0682486220001</v>
      </c>
      <c r="AQ106" s="4">
        <f t="shared" si="75"/>
        <v>0.94757150329256701</v>
      </c>
      <c r="AR106" s="4">
        <f>SUMIFS($AP$3:$AP106,$D$3:$D106,D106)</f>
        <v>9021.8904185289994</v>
      </c>
      <c r="AS106" s="4">
        <f t="shared" si="96"/>
        <v>14312.217156186</v>
      </c>
      <c r="AT106" s="97">
        <f t="shared" si="106"/>
        <v>0.33869408862826678</v>
      </c>
      <c r="AU106" s="97">
        <f t="shared" si="107"/>
        <v>0.21356627649352067</v>
      </c>
      <c r="AV106" s="98">
        <f t="shared" si="118"/>
        <v>0.160039139714653</v>
      </c>
      <c r="AW106" s="4">
        <v>604.04202097199993</v>
      </c>
      <c r="AX106" s="4">
        <f>SUMIFS($AW$3:$AW106,$D$3:$D106,D106)</f>
        <v>4770.9620528080004</v>
      </c>
      <c r="AY106" s="4">
        <f t="shared" si="97"/>
        <v>7490.6958664169988</v>
      </c>
      <c r="AZ106" s="97">
        <f t="shared" si="108"/>
        <v>0.16138746086750322</v>
      </c>
      <c r="BA106" s="97">
        <f t="shared" si="109"/>
        <v>0.15563910750004095</v>
      </c>
      <c r="BB106" s="97">
        <f t="shared" si="124"/>
        <v>0.14356901393761667</v>
      </c>
      <c r="BC106" s="4">
        <v>414.70021957400002</v>
      </c>
      <c r="BD106" s="4">
        <f t="shared" si="88"/>
        <v>189.34180139799992</v>
      </c>
      <c r="BE106" s="4">
        <v>137.51353494500003</v>
      </c>
      <c r="BF106" s="4">
        <v>43.265054606</v>
      </c>
      <c r="BG106" s="4">
        <f t="shared" si="76"/>
        <v>6.2223913674286413</v>
      </c>
      <c r="BH106" s="4">
        <f>Datos1[[#This Row],[Intereses]]/Datos1[[#This Row],[PIB nominal (miles de millones de G.)]]*100</f>
        <v>3.0615865080238495E-2</v>
      </c>
      <c r="BI106" s="4">
        <v>304.30410273500001</v>
      </c>
      <c r="BJ106" s="4">
        <v>151.98960040599999</v>
      </c>
      <c r="BK106" s="4">
        <v>97.953934957999991</v>
      </c>
      <c r="BL106" s="56">
        <f t="shared" si="126"/>
        <v>67.671184710999796</v>
      </c>
      <c r="BM106" s="56">
        <f>SUMIFS($BL$3:$BL106,$D$3:$D106,D106)</f>
        <v>2896.991975904999</v>
      </c>
      <c r="BN106" s="56">
        <f t="shared" si="90"/>
        <v>3864.6233887269982</v>
      </c>
      <c r="BO106" s="100">
        <f t="shared" si="110"/>
        <v>-0.66990092463799811</v>
      </c>
      <c r="BP106" s="100">
        <f t="shared" si="111"/>
        <v>0.1360807753746367</v>
      </c>
      <c r="BQ106" s="100">
        <f t="shared" si="119"/>
        <v>0.41027422974349159</v>
      </c>
      <c r="BR106" s="2">
        <f t="shared" si="78"/>
        <v>4.78864959214578E-2</v>
      </c>
      <c r="BS106" s="2">
        <f>+Datos1[[#This Row],[RON acumulado 12 meses]]/Datos1[[#This Row],[PIB nominal (miles de millones de G.)]]*100</f>
        <v>2.7347426076931711</v>
      </c>
      <c r="BT106" s="56">
        <v>159.22681224999999</v>
      </c>
      <c r="BU106" s="56">
        <f>SUMIFS($BT$3:$BT106,$D$3:$D106,D106)</f>
        <v>1001.7812310909999</v>
      </c>
      <c r="BV106" s="56">
        <f t="shared" si="98"/>
        <v>2288.7616676789999</v>
      </c>
      <c r="BW106" s="100">
        <f t="shared" si="112"/>
        <v>-3.9879516179161745E-2</v>
      </c>
      <c r="BX106" s="100">
        <f t="shared" si="113"/>
        <v>2.2702991051801513E-2</v>
      </c>
      <c r="BY106" s="100">
        <f t="shared" si="120"/>
        <v>4.8008187000583513E-2</v>
      </c>
      <c r="BZ106" s="56">
        <f t="shared" si="79"/>
        <v>22.900041408249621</v>
      </c>
      <c r="CA106" s="56">
        <f>Datos1[[#This Row],[Adquisición Neta de Activos no Financieros]]/Datos1[[#This Row],[PIB nominal (miles de millones de G.)]]*100</f>
        <v>0.11267445853001236</v>
      </c>
      <c r="CB106" s="56">
        <f>+Datos1[[#This Row],[ANANF acumulado por año]]/Datos1[[#This Row],[PIB nominal (miles de millones de G.)]]*100</f>
        <v>0.70889541895421304</v>
      </c>
      <c r="CC106" s="56">
        <f>+Datos1[[#This Row],[ANANF acumulado 12 meses]]/Datos1[[#This Row],[PIB nominal (miles de millones de G.)]]*100</f>
        <v>1.6196077655883574</v>
      </c>
      <c r="CD106" s="4">
        <v>56.525911729000001</v>
      </c>
      <c r="CE106" s="4">
        <f t="shared" si="80"/>
        <v>8.1295712759781313</v>
      </c>
      <c r="CF106" s="4">
        <f t="shared" si="81"/>
        <v>102.70090052099999</v>
      </c>
      <c r="CG106" s="4">
        <f t="shared" si="82"/>
        <v>14.770470132271488</v>
      </c>
      <c r="CH106" s="56">
        <f t="shared" si="83"/>
        <v>-91.555627539000199</v>
      </c>
      <c r="CI106" s="56">
        <f>SUMIFS($CH$3:$CH106,$D$3:$D106,D106)</f>
        <v>1895.2107448139991</v>
      </c>
      <c r="CJ106" s="56">
        <f t="shared" si="91"/>
        <v>1575.8617210479988</v>
      </c>
      <c r="CK106" s="56">
        <f>Datos1[[#This Row],[Resultado Fiscal (miles de millones de G.)]]*1000/$F$207</f>
        <v>-13.167554083224974</v>
      </c>
      <c r="CL106" s="56">
        <f t="shared" si="99"/>
        <v>226.64084117324711</v>
      </c>
      <c r="CM106" s="100">
        <f t="shared" si="114"/>
        <v>-3.3378571438163984</v>
      </c>
      <c r="CN106" s="100">
        <f t="shared" si="115"/>
        <v>0.20679855246107692</v>
      </c>
      <c r="CO106" s="100">
        <f t="shared" si="121"/>
        <v>1.8321500944690872</v>
      </c>
      <c r="CP106" s="4">
        <f t="shared" si="84"/>
        <v>-6.4787962608554545E-2</v>
      </c>
      <c r="CQ106" s="4">
        <f t="shared" si="92"/>
        <v>1.1151348421048142</v>
      </c>
      <c r="CR106" s="73">
        <v>644.87668385100005</v>
      </c>
      <c r="CS106" s="113">
        <f>SUM(Datos1[[#This Row],[FFPP]:[MTESS]])</f>
        <v>0</v>
      </c>
      <c r="CT106" s="113"/>
      <c r="CU106" s="113"/>
      <c r="CV106" s="113"/>
      <c r="CW106" s="113"/>
      <c r="CX106" s="113"/>
      <c r="CY106" s="113"/>
      <c r="CZ106" s="113"/>
    </row>
    <row r="107" spans="1:104">
      <c r="A107">
        <v>105</v>
      </c>
      <c r="B107" s="3">
        <v>40787</v>
      </c>
      <c r="C107" s="14" t="str">
        <f t="shared" si="66"/>
        <v>Septiembre</v>
      </c>
      <c r="D107" s="14">
        <f t="shared" si="85"/>
        <v>2011</v>
      </c>
      <c r="E107" s="15">
        <f t="shared" si="67"/>
        <v>141315.79980709453</v>
      </c>
      <c r="F107" s="15">
        <f t="shared" si="125"/>
        <v>4196.178620091895</v>
      </c>
      <c r="G107" s="56">
        <v>1609.0620551499999</v>
      </c>
      <c r="H107" s="4">
        <f t="shared" si="86"/>
        <v>1.1386285591182845</v>
      </c>
      <c r="I107" s="4">
        <f>SUMIFS($G$3:$G107,$D$3:$D107,D107)</f>
        <v>13527.944449583998</v>
      </c>
      <c r="J107" s="2">
        <f t="shared" si="93"/>
        <v>18389.511035800999</v>
      </c>
      <c r="K107" s="95">
        <f t="shared" si="100"/>
        <v>0.1886871552435756</v>
      </c>
      <c r="L107" s="95">
        <f t="shared" si="101"/>
        <v>0.1523000398533616</v>
      </c>
      <c r="M107" s="95">
        <f t="shared" si="116"/>
        <v>0.20292446178869739</v>
      </c>
      <c r="N107" s="4">
        <v>1312.2867475339999</v>
      </c>
      <c r="O107" s="4">
        <f t="shared" si="69"/>
        <v>0.92861997690658704</v>
      </c>
      <c r="P107" s="4">
        <f>SUMIFS($N$3:$N107,$D$3:$D107,D107)</f>
        <v>9783.5134512670011</v>
      </c>
      <c r="Q107" s="4">
        <f t="shared" si="89"/>
        <v>12921.992231215998</v>
      </c>
      <c r="R107" s="97">
        <f t="shared" si="102"/>
        <v>0.2312622496288701</v>
      </c>
      <c r="S107" s="97">
        <f t="shared" si="103"/>
        <v>0.18343484901810236</v>
      </c>
      <c r="T107" s="97">
        <f t="shared" si="117"/>
        <v>0.20688352225977535</v>
      </c>
      <c r="U107" s="4">
        <v>716.82351515900007</v>
      </c>
      <c r="V107" s="4">
        <f t="shared" si="94"/>
        <v>6118.8242319430001</v>
      </c>
      <c r="W107" s="97">
        <f t="shared" si="122"/>
        <v>0.18622402673193172</v>
      </c>
      <c r="X107" s="97">
        <f t="shared" si="104"/>
        <v>0.3069481208079512</v>
      </c>
      <c r="Y107" s="4">
        <v>592.85502646400028</v>
      </c>
      <c r="Z107" s="4">
        <f t="shared" si="95"/>
        <v>6787.2844570480011</v>
      </c>
      <c r="AA107" s="97">
        <f t="shared" si="123"/>
        <v>0.22899195431743058</v>
      </c>
      <c r="AB107" s="97">
        <f t="shared" si="105"/>
        <v>0.14673805951649155</v>
      </c>
      <c r="AC107" s="4">
        <v>34.507148768999997</v>
      </c>
      <c r="AD107" s="4">
        <f t="shared" si="70"/>
        <v>2.4418464754899699E-2</v>
      </c>
      <c r="AE107" s="4">
        <v>77.800260241000004</v>
      </c>
      <c r="AF107" s="4">
        <f t="shared" si="71"/>
        <v>5.5054183854319566E-2</v>
      </c>
      <c r="AG107" s="4">
        <v>184.46789860600001</v>
      </c>
      <c r="AH107" s="4">
        <f t="shared" si="72"/>
        <v>43.960926191926553</v>
      </c>
      <c r="AI107" s="4">
        <v>104.06339916</v>
      </c>
      <c r="AJ107" s="4">
        <f t="shared" si="73"/>
        <v>14.966425039682404</v>
      </c>
      <c r="AK107" s="101">
        <f>SUMIFS($AJ$3:$AJ107,$D$3:$D107,D107)</f>
        <v>135.45672173522016</v>
      </c>
      <c r="AL107" s="4">
        <v>0</v>
      </c>
      <c r="AM107" s="4">
        <f t="shared" si="74"/>
        <v>0</v>
      </c>
      <c r="AN107" s="101">
        <f>SUMIFS($AM$3:$AM107,$D$3:$D107,D107)</f>
        <v>0</v>
      </c>
      <c r="AO107" s="4">
        <f t="shared" si="87"/>
        <v>80.404499446000003</v>
      </c>
      <c r="AP107" s="56">
        <v>1133.7828547630002</v>
      </c>
      <c r="AQ107" s="4">
        <f t="shared" si="75"/>
        <v>0.80230438232008672</v>
      </c>
      <c r="AR107" s="4">
        <f>SUMIFS($AP$3:$AP107,$D$3:$D107,D107)</f>
        <v>10155.673273291999</v>
      </c>
      <c r="AS107" s="4">
        <f t="shared" si="96"/>
        <v>14446.365735482999</v>
      </c>
      <c r="AT107" s="97">
        <f t="shared" si="106"/>
        <v>0.13419765867318256</v>
      </c>
      <c r="AU107" s="97">
        <f t="shared" si="107"/>
        <v>0.20415897500523128</v>
      </c>
      <c r="AV107" s="98">
        <f t="shared" si="118"/>
        <v>0.16529277744348381</v>
      </c>
      <c r="AW107" s="4">
        <v>625.24319813900001</v>
      </c>
      <c r="AX107" s="4">
        <f>SUMIFS($AW$3:$AW107,$D$3:$D107,D107)</f>
        <v>5396.2052509470004</v>
      </c>
      <c r="AY107" s="4">
        <f t="shared" si="97"/>
        <v>7587.1683755619988</v>
      </c>
      <c r="AZ107" s="97">
        <f t="shared" si="108"/>
        <v>0.18244677920506791</v>
      </c>
      <c r="BA107" s="97">
        <f t="shared" si="109"/>
        <v>0.15868281261550599</v>
      </c>
      <c r="BB107" s="97">
        <f t="shared" si="124"/>
        <v>0.15058380649616199</v>
      </c>
      <c r="BC107" s="4">
        <v>416.31712505299998</v>
      </c>
      <c r="BD107" s="4">
        <f t="shared" si="88"/>
        <v>208.92607308600003</v>
      </c>
      <c r="BE107" s="4">
        <v>149.47982017300001</v>
      </c>
      <c r="BF107" s="4">
        <v>26.960858775999998</v>
      </c>
      <c r="BG107" s="4">
        <f t="shared" si="76"/>
        <v>3.8775176972267129</v>
      </c>
      <c r="BH107" s="4">
        <f>Datos1[[#This Row],[Intereses]]/Datos1[[#This Row],[PIB nominal (miles de millones de G.)]]*100</f>
        <v>1.9078446155917007E-2</v>
      </c>
      <c r="BI107" s="4">
        <v>161.01425999</v>
      </c>
      <c r="BJ107" s="4">
        <v>154.27535551900002</v>
      </c>
      <c r="BK107" s="4">
        <v>16.809362166</v>
      </c>
      <c r="BL107" s="56">
        <f t="shared" si="126"/>
        <v>475.27920038699972</v>
      </c>
      <c r="BM107" s="56">
        <f>SUMIFS($BL$3:$BL107,$D$3:$D107,D107)</f>
        <v>3372.2711762919989</v>
      </c>
      <c r="BN107" s="56">
        <f t="shared" si="90"/>
        <v>3943.1453003179986</v>
      </c>
      <c r="BO107" s="100">
        <f t="shared" si="110"/>
        <v>0.19790918480485331</v>
      </c>
      <c r="BP107" s="100">
        <f t="shared" si="111"/>
        <v>0.14440551076603669</v>
      </c>
      <c r="BQ107" s="100">
        <f t="shared" si="119"/>
        <v>0.36434493261513201</v>
      </c>
      <c r="BR107" s="2">
        <f t="shared" si="78"/>
        <v>0.3363241767981977</v>
      </c>
      <c r="BS107" s="2">
        <f>+Datos1[[#This Row],[RON acumulado 12 meses]]/Datos1[[#This Row],[PIB nominal (miles de millones de G.)]]*100</f>
        <v>2.7903074572699258</v>
      </c>
      <c r="BT107" s="56">
        <v>159.86334444100001</v>
      </c>
      <c r="BU107" s="56">
        <f>SUMIFS($BT$3:$BT107,$D$3:$D107,D107)</f>
        <v>1161.6445755319999</v>
      </c>
      <c r="BV107" s="56">
        <f t="shared" si="98"/>
        <v>2256.1579321270001</v>
      </c>
      <c r="BW107" s="100">
        <f t="shared" si="112"/>
        <v>-0.16939902425487918</v>
      </c>
      <c r="BX107" s="100">
        <f t="shared" si="113"/>
        <v>-8.8439423741453194E-3</v>
      </c>
      <c r="BY107" s="100">
        <f t="shared" si="120"/>
        <v>7.4383267026762789E-2</v>
      </c>
      <c r="BZ107" s="56">
        <f t="shared" si="79"/>
        <v>22.991587632943851</v>
      </c>
      <c r="CA107" s="56">
        <f>Datos1[[#This Row],[Adquisición Neta de Activos no Financieros]]/Datos1[[#This Row],[PIB nominal (miles de millones de G.)]]*100</f>
        <v>0.11312489095998049</v>
      </c>
      <c r="CB107" s="56">
        <f>+Datos1[[#This Row],[ANANF acumulado por año]]/Datos1[[#This Row],[PIB nominal (miles de millones de G.)]]*100</f>
        <v>0.82202030991419361</v>
      </c>
      <c r="CC107" s="56">
        <f>+Datos1[[#This Row],[ANANF acumulado 12 meses]]/Datos1[[#This Row],[PIB nominal (miles de millones de G.)]]*100</f>
        <v>1.5965362225645015</v>
      </c>
      <c r="CD107" s="4">
        <v>73.787150228999977</v>
      </c>
      <c r="CE107" s="4">
        <f t="shared" si="80"/>
        <v>10.612087071038093</v>
      </c>
      <c r="CF107" s="4">
        <f t="shared" si="81"/>
        <v>86.076194212000033</v>
      </c>
      <c r="CG107" s="4">
        <f t="shared" si="82"/>
        <v>12.379500561905754</v>
      </c>
      <c r="CH107" s="56">
        <f t="shared" si="83"/>
        <v>315.41585594599974</v>
      </c>
      <c r="CI107" s="56">
        <f>SUMIFS($CH$3:$CH107,$D$3:$D107,D107)</f>
        <v>2210.6266007599988</v>
      </c>
      <c r="CJ107" s="56">
        <f t="shared" si="91"/>
        <v>1686.9873681909987</v>
      </c>
      <c r="CK107" s="56">
        <f>Datos1[[#This Row],[Resultado Fiscal (miles de millones de G.)]]*1000/$F$207</f>
        <v>45.363190155694973</v>
      </c>
      <c r="CL107" s="56">
        <f t="shared" si="99"/>
        <v>242.6229605483289</v>
      </c>
      <c r="CM107" s="100">
        <f t="shared" si="114"/>
        <v>0.54395973157069077</v>
      </c>
      <c r="CN107" s="100">
        <f t="shared" si="115"/>
        <v>0.24560925931648114</v>
      </c>
      <c r="CO107" s="100">
        <f t="shared" si="121"/>
        <v>1.1349357405211502</v>
      </c>
      <c r="CP107" s="4">
        <f t="shared" si="84"/>
        <v>0.22319928583821722</v>
      </c>
      <c r="CQ107" s="4">
        <f t="shared" si="92"/>
        <v>1.1937712347054248</v>
      </c>
      <c r="CR107" s="73">
        <v>664.44974978000005</v>
      </c>
      <c r="CS107" s="113">
        <f>SUM(Datos1[[#This Row],[FFPP]:[MTESS]])</f>
        <v>0</v>
      </c>
      <c r="CT107" s="113"/>
      <c r="CU107" s="113"/>
      <c r="CV107" s="113"/>
      <c r="CW107" s="113"/>
      <c r="CX107" s="113"/>
      <c r="CY107" s="113"/>
      <c r="CZ107" s="113"/>
    </row>
    <row r="108" spans="1:104">
      <c r="A108">
        <v>106</v>
      </c>
      <c r="B108" s="3">
        <v>40817</v>
      </c>
      <c r="C108" s="14" t="str">
        <f t="shared" si="66"/>
        <v>Octubre</v>
      </c>
      <c r="D108" s="14">
        <f t="shared" si="85"/>
        <v>2011</v>
      </c>
      <c r="E108" s="15">
        <f t="shared" si="67"/>
        <v>141315.79980709453</v>
      </c>
      <c r="F108" s="15">
        <f t="shared" si="125"/>
        <v>4196.178620091895</v>
      </c>
      <c r="G108" s="56">
        <v>1768.6679052320001</v>
      </c>
      <c r="H108" s="4">
        <f t="shared" si="86"/>
        <v>1.2515712380684603</v>
      </c>
      <c r="I108" s="4">
        <f>SUMIFS($G$3:$G108,$D$3:$D108,D108)</f>
        <v>15296.612354815998</v>
      </c>
      <c r="J108" s="2">
        <f t="shared" si="93"/>
        <v>18753.763768941997</v>
      </c>
      <c r="K108" s="95">
        <f t="shared" si="100"/>
        <v>0.19645076091211844</v>
      </c>
      <c r="L108" s="95">
        <f t="shared" si="101"/>
        <v>0.25936257338965718</v>
      </c>
      <c r="M108" s="95">
        <f t="shared" si="116"/>
        <v>0.20329357237980994</v>
      </c>
      <c r="N108" s="4">
        <v>1049.58146513</v>
      </c>
      <c r="O108" s="4">
        <f t="shared" si="69"/>
        <v>0.74272053554008011</v>
      </c>
      <c r="P108" s="4">
        <f>SUMIFS($N$3:$N108,$D$3:$D108,D108)</f>
        <v>10833.094916397002</v>
      </c>
      <c r="Q108" s="4">
        <f t="shared" si="89"/>
        <v>13006.450732722</v>
      </c>
      <c r="R108" s="97">
        <f t="shared" si="102"/>
        <v>8.7510612314996017E-2</v>
      </c>
      <c r="S108" s="97">
        <f t="shared" si="103"/>
        <v>0.17340701508568968</v>
      </c>
      <c r="T108" s="97">
        <f t="shared" si="117"/>
        <v>0.1874478300076956</v>
      </c>
      <c r="U108" s="4">
        <v>391.5913304899999</v>
      </c>
      <c r="V108" s="4">
        <f t="shared" si="94"/>
        <v>6163.0450820979995</v>
      </c>
      <c r="W108" s="97">
        <f t="shared" si="122"/>
        <v>0.18127997580210886</v>
      </c>
      <c r="X108" s="97">
        <f t="shared" si="104"/>
        <v>0.12730169274128866</v>
      </c>
      <c r="Y108" s="4">
        <v>653.17447798299986</v>
      </c>
      <c r="Z108" s="4">
        <f t="shared" si="95"/>
        <v>6817.6126034109993</v>
      </c>
      <c r="AA108" s="97">
        <f t="shared" si="123"/>
        <v>0.19071264553325906</v>
      </c>
      <c r="AB108" s="97">
        <f t="shared" si="105"/>
        <v>4.8692823290967135E-2</v>
      </c>
      <c r="AC108" s="4">
        <v>191.96188160900002</v>
      </c>
      <c r="AD108" s="4">
        <f t="shared" si="70"/>
        <v>0.13583893794681187</v>
      </c>
      <c r="AE108" s="4">
        <v>80.995491505000004</v>
      </c>
      <c r="AF108" s="4">
        <f t="shared" si="71"/>
        <v>5.7315241194236061E-2</v>
      </c>
      <c r="AG108" s="4">
        <v>446.12906698800003</v>
      </c>
      <c r="AH108" s="4">
        <f t="shared" si="72"/>
        <v>106.31794005428442</v>
      </c>
      <c r="AI108" s="4">
        <v>256.172680254</v>
      </c>
      <c r="AJ108" s="4">
        <f t="shared" si="73"/>
        <v>36.842821272262768</v>
      </c>
      <c r="AK108" s="101">
        <f>SUMIFS($AJ$3:$AJ108,$D$3:$D108,D108)</f>
        <v>172.29954300748292</v>
      </c>
      <c r="AL108" s="4">
        <v>0</v>
      </c>
      <c r="AM108" s="4">
        <f t="shared" si="74"/>
        <v>0</v>
      </c>
      <c r="AN108" s="101">
        <f>SUMIFS($AM$3:$AM108,$D$3:$D108,D108)</f>
        <v>0</v>
      </c>
      <c r="AO108" s="4">
        <f t="shared" si="87"/>
        <v>189.95638673400003</v>
      </c>
      <c r="AP108" s="56">
        <v>1203.3235379509999</v>
      </c>
      <c r="AQ108" s="4">
        <f t="shared" si="75"/>
        <v>0.85151380071698746</v>
      </c>
      <c r="AR108" s="4">
        <f>SUMIFS($AP$3:$AP108,$D$3:$D108,D108)</f>
        <v>11358.996811243</v>
      </c>
      <c r="AS108" s="4">
        <f t="shared" si="96"/>
        <v>14651.952395562001</v>
      </c>
      <c r="AT108" s="97">
        <f t="shared" si="106"/>
        <v>0.20605298314469556</v>
      </c>
      <c r="AU108" s="97">
        <f t="shared" si="107"/>
        <v>0.20435933636565107</v>
      </c>
      <c r="AV108" s="98">
        <f t="shared" si="118"/>
        <v>0.1836060846422034</v>
      </c>
      <c r="AW108" s="4">
        <v>622.979150506</v>
      </c>
      <c r="AX108" s="4">
        <f>SUMIFS($AW$3:$AW108,$D$3:$D108,D108)</f>
        <v>6019.1844014530006</v>
      </c>
      <c r="AY108" s="4">
        <f t="shared" si="97"/>
        <v>7676.7341592980001</v>
      </c>
      <c r="AZ108" s="97">
        <f t="shared" si="108"/>
        <v>0.16791064738094508</v>
      </c>
      <c r="BA108" s="97">
        <f t="shared" si="109"/>
        <v>0.15963111297330368</v>
      </c>
      <c r="BB108" s="97">
        <f t="shared" si="124"/>
        <v>0.1539441967881392</v>
      </c>
      <c r="BC108" s="4">
        <v>414.54329053999999</v>
      </c>
      <c r="BD108" s="4">
        <f t="shared" si="88"/>
        <v>208.43585996600001</v>
      </c>
      <c r="BE108" s="4">
        <v>145.22273572</v>
      </c>
      <c r="BF108" s="4">
        <v>7.6651717499999998</v>
      </c>
      <c r="BG108" s="4">
        <f t="shared" si="76"/>
        <v>1.1024069878428733</v>
      </c>
      <c r="BH108" s="4">
        <f>Datos1[[#This Row],[Intereses]]/Datos1[[#This Row],[PIB nominal (miles de millones de G.)]]*100</f>
        <v>5.4241434860528475E-3</v>
      </c>
      <c r="BI108" s="4">
        <v>206.34360493299999</v>
      </c>
      <c r="BJ108" s="4">
        <v>153.36958450100002</v>
      </c>
      <c r="BK108" s="4">
        <v>67.743290540999993</v>
      </c>
      <c r="BL108" s="56">
        <f t="shared" si="126"/>
        <v>565.34436728100013</v>
      </c>
      <c r="BM108" s="56">
        <f>SUMIFS($BL$3:$BL108,$D$3:$D108,D108)</f>
        <v>3937.6155435729988</v>
      </c>
      <c r="BN108" s="56">
        <f t="shared" si="90"/>
        <v>4101.8113733799983</v>
      </c>
      <c r="BO108" s="100">
        <f t="shared" si="110"/>
        <v>0.39015131940274239</v>
      </c>
      <c r="BP108" s="100">
        <f t="shared" si="111"/>
        <v>0.17420773928147848</v>
      </c>
      <c r="BQ108" s="100">
        <f t="shared" si="119"/>
        <v>0.27930465267439253</v>
      </c>
      <c r="BR108" s="2">
        <f t="shared" si="78"/>
        <v>0.40005743735147292</v>
      </c>
      <c r="BS108" s="2">
        <f>+Datos1[[#This Row],[RON acumulado 12 meses]]/Datos1[[#This Row],[PIB nominal (miles de millones de G.)]]*100</f>
        <v>2.9025851171484316</v>
      </c>
      <c r="BT108" s="56">
        <v>214.47531162999999</v>
      </c>
      <c r="BU108" s="56">
        <f>SUMIFS($BT$3:$BT108,$D$3:$D108,D108)</f>
        <v>1376.1198871619999</v>
      </c>
      <c r="BV108" s="56">
        <f t="shared" si="98"/>
        <v>2267.9023046309999</v>
      </c>
      <c r="BW108" s="100">
        <f t="shared" si="112"/>
        <v>5.79308346058649E-2</v>
      </c>
      <c r="BX108" s="100">
        <f t="shared" si="113"/>
        <v>1.0032333388669823E-3</v>
      </c>
      <c r="BY108" s="100">
        <f t="shared" si="120"/>
        <v>9.0328882799379784E-2</v>
      </c>
      <c r="BZ108" s="56">
        <f t="shared" si="79"/>
        <v>30.845894909098394</v>
      </c>
      <c r="CA108" s="56">
        <f>Datos1[[#This Row],[Adquisición Neta de Activos no Financieros]]/Datos1[[#This Row],[PIB nominal (miles de millones de G.)]]*100</f>
        <v>0.15177022804440343</v>
      </c>
      <c r="CB108" s="56">
        <f>+Datos1[[#This Row],[ANANF acumulado por año]]/Datos1[[#This Row],[PIB nominal (miles de millones de G.)]]*100</f>
        <v>0.97379053795859705</v>
      </c>
      <c r="CC108" s="56">
        <f>+Datos1[[#This Row],[ANANF acumulado 12 meses]]/Datos1[[#This Row],[PIB nominal (miles de millones de G.)]]*100</f>
        <v>1.6048469511030172</v>
      </c>
      <c r="CD108" s="4">
        <v>79.924891737999985</v>
      </c>
      <c r="CE108" s="4">
        <f t="shared" si="80"/>
        <v>11.49481864572132</v>
      </c>
      <c r="CF108" s="4">
        <f t="shared" si="81"/>
        <v>134.55041989200001</v>
      </c>
      <c r="CG108" s="4">
        <f t="shared" si="82"/>
        <v>19.351076263377077</v>
      </c>
      <c r="CH108" s="56">
        <f t="shared" si="83"/>
        <v>350.86905565100017</v>
      </c>
      <c r="CI108" s="56">
        <f>SUMIFS($CH$3:$CH108,$D$3:$D108,D108)</f>
        <v>2561.4956564109989</v>
      </c>
      <c r="CJ108" s="56">
        <f t="shared" si="91"/>
        <v>1833.9090687489984</v>
      </c>
      <c r="CK108" s="56">
        <f>Datos1[[#This Row],[Resultado Fiscal (miles de millones de G.)]]*1000/$F$207</f>
        <v>50.462078526484753</v>
      </c>
      <c r="CL108" s="56">
        <f t="shared" si="99"/>
        <v>263.7532776036378</v>
      </c>
      <c r="CM108" s="100">
        <f t="shared" si="114"/>
        <v>0.72039032078157206</v>
      </c>
      <c r="CN108" s="100">
        <f t="shared" si="115"/>
        <v>0.29454603362351262</v>
      </c>
      <c r="CO108" s="100">
        <f t="shared" si="121"/>
        <v>0.62831016341361723</v>
      </c>
      <c r="CP108" s="4">
        <f t="shared" si="84"/>
        <v>0.24828720930706955</v>
      </c>
      <c r="CQ108" s="4">
        <f t="shared" si="92"/>
        <v>1.2977381660454148</v>
      </c>
      <c r="CR108" s="73">
        <v>659.95453497599999</v>
      </c>
      <c r="CS108" s="113">
        <f>SUM(Datos1[[#This Row],[FFPP]:[MTESS]])</f>
        <v>0</v>
      </c>
      <c r="CT108" s="113"/>
      <c r="CU108" s="113"/>
      <c r="CV108" s="113"/>
      <c r="CW108" s="113"/>
      <c r="CX108" s="113"/>
      <c r="CY108" s="113"/>
      <c r="CZ108" s="113"/>
    </row>
    <row r="109" spans="1:104">
      <c r="A109">
        <v>107</v>
      </c>
      <c r="B109" s="3">
        <v>40848</v>
      </c>
      <c r="C109" s="14" t="str">
        <f t="shared" si="66"/>
        <v>Noviembre</v>
      </c>
      <c r="D109" s="14">
        <f t="shared" si="85"/>
        <v>2011</v>
      </c>
      <c r="E109" s="15">
        <f t="shared" si="67"/>
        <v>141315.79980709453</v>
      </c>
      <c r="F109" s="15">
        <f t="shared" si="125"/>
        <v>4196.178620091895</v>
      </c>
      <c r="G109" s="56">
        <v>1818.2747747079995</v>
      </c>
      <c r="H109" s="4">
        <f t="shared" si="86"/>
        <v>1.286674793045127</v>
      </c>
      <c r="I109" s="4">
        <f>SUMIFS($G$3:$G109,$D$3:$D109,D109)</f>
        <v>17114.887129523999</v>
      </c>
      <c r="J109" s="2">
        <f t="shared" si="93"/>
        <v>18921.655110884996</v>
      </c>
      <c r="K109" s="95">
        <f t="shared" si="100"/>
        <v>0.18562127126918404</v>
      </c>
      <c r="L109" s="95">
        <f t="shared" si="101"/>
        <v>0.10172868838226257</v>
      </c>
      <c r="M109" s="95">
        <f t="shared" si="116"/>
        <v>0.19233647698006751</v>
      </c>
      <c r="N109" s="4">
        <v>1305.0722704309997</v>
      </c>
      <c r="O109" s="4">
        <f t="shared" si="69"/>
        <v>0.92351476070793925</v>
      </c>
      <c r="P109" s="4">
        <f>SUMIFS($N$3:$N109,$D$3:$D109,D109)</f>
        <v>12138.167186828001</v>
      </c>
      <c r="Q109" s="4">
        <f t="shared" si="89"/>
        <v>13183.893830970997</v>
      </c>
      <c r="R109" s="97">
        <f t="shared" si="102"/>
        <v>0.15735944282608583</v>
      </c>
      <c r="S109" s="97">
        <f t="shared" si="103"/>
        <v>0.17166029128030003</v>
      </c>
      <c r="T109" s="97">
        <f t="shared" si="117"/>
        <v>0.18217660394829327</v>
      </c>
      <c r="U109" s="4">
        <v>654.66611369100019</v>
      </c>
      <c r="V109" s="4">
        <f t="shared" si="94"/>
        <v>6276.2102863290002</v>
      </c>
      <c r="W109" s="97">
        <f t="shared" si="122"/>
        <v>0.19151260735822451</v>
      </c>
      <c r="X109" s="97">
        <f t="shared" si="104"/>
        <v>0.20898432902698483</v>
      </c>
      <c r="Y109" s="4">
        <v>653.38118589600003</v>
      </c>
      <c r="Z109" s="4">
        <f t="shared" si="95"/>
        <v>6887.9539631939997</v>
      </c>
      <c r="AA109" s="97">
        <f t="shared" si="123"/>
        <v>0.17230110018412015</v>
      </c>
      <c r="AB109" s="97">
        <f t="shared" si="105"/>
        <v>0.12064589181145746</v>
      </c>
      <c r="AC109" s="4">
        <v>125.08225447</v>
      </c>
      <c r="AD109" s="4">
        <f t="shared" si="70"/>
        <v>8.8512575834227725E-2</v>
      </c>
      <c r="AE109" s="4">
        <v>169.33751105900001</v>
      </c>
      <c r="AF109" s="4">
        <f t="shared" si="71"/>
        <v>0.11982914245268893</v>
      </c>
      <c r="AG109" s="4">
        <v>218.78273874799999</v>
      </c>
      <c r="AH109" s="4">
        <f t="shared" si="72"/>
        <v>52.138566671217802</v>
      </c>
      <c r="AI109" s="4">
        <v>141.99710550600003</v>
      </c>
      <c r="AJ109" s="4">
        <f t="shared" si="73"/>
        <v>20.422060518510385</v>
      </c>
      <c r="AK109" s="101">
        <f>SUMIFS($AJ$3:$AJ109,$D$3:$D109,D109)</f>
        <v>192.72160352599332</v>
      </c>
      <c r="AL109" s="4">
        <v>0</v>
      </c>
      <c r="AM109" s="4">
        <f t="shared" si="74"/>
        <v>0</v>
      </c>
      <c r="AN109" s="101">
        <f>SUMIFS($AM$3:$AM109,$D$3:$D109,D109)</f>
        <v>0</v>
      </c>
      <c r="AO109" s="4">
        <f t="shared" si="87"/>
        <v>76.78563324199996</v>
      </c>
      <c r="AP109" s="56">
        <v>1302.0841136610002</v>
      </c>
      <c r="AQ109" s="4">
        <f t="shared" si="75"/>
        <v>0.9214002365187981</v>
      </c>
      <c r="AR109" s="4">
        <f>SUMIFS($AP$3:$AP109,$D$3:$D109,D109)</f>
        <v>12661.080924903999</v>
      </c>
      <c r="AS109" s="4">
        <f t="shared" si="96"/>
        <v>14770.800026954999</v>
      </c>
      <c r="AT109" s="97">
        <f t="shared" si="106"/>
        <v>0.10044283892024319</v>
      </c>
      <c r="AU109" s="97">
        <f t="shared" si="107"/>
        <v>0.19277572286715339</v>
      </c>
      <c r="AV109" s="98">
        <f t="shared" si="118"/>
        <v>0.17214607561124629</v>
      </c>
      <c r="AW109" s="4">
        <v>628.32678946800002</v>
      </c>
      <c r="AX109" s="4">
        <f>SUMIFS($AW$3:$AW109,$D$3:$D109,D109)</f>
        <v>6647.5111909210009</v>
      </c>
      <c r="AY109" s="4">
        <f t="shared" si="97"/>
        <v>7744.5756435250005</v>
      </c>
      <c r="AZ109" s="97">
        <f t="shared" si="108"/>
        <v>0.12104061175667957</v>
      </c>
      <c r="BA109" s="97">
        <f t="shared" si="109"/>
        <v>0.15587018829540189</v>
      </c>
      <c r="BB109" s="97">
        <f t="shared" si="124"/>
        <v>0.15064863566061271</v>
      </c>
      <c r="BC109" s="4">
        <v>417.458567233</v>
      </c>
      <c r="BD109" s="4">
        <f t="shared" si="88"/>
        <v>210.86822223500002</v>
      </c>
      <c r="BE109" s="4">
        <v>160.70857615899999</v>
      </c>
      <c r="BF109" s="4">
        <v>10.91545999</v>
      </c>
      <c r="BG109" s="4">
        <f t="shared" si="76"/>
        <v>1.5698642849712141</v>
      </c>
      <c r="BH109" s="4">
        <f>Datos1[[#This Row],[Intereses]]/Datos1[[#This Row],[PIB nominal (miles de millones de G.)]]*100</f>
        <v>7.7241610668448467E-3</v>
      </c>
      <c r="BI109" s="4">
        <v>187.81655576599996</v>
      </c>
      <c r="BJ109" s="4">
        <v>194.23450538099999</v>
      </c>
      <c r="BK109" s="4">
        <v>120.082226897</v>
      </c>
      <c r="BL109" s="56">
        <f t="shared" si="126"/>
        <v>516.19066104699937</v>
      </c>
      <c r="BM109" s="56">
        <f>SUMIFS($BL$3:$BL109,$D$3:$D109,D109)</f>
        <v>4453.8062046199984</v>
      </c>
      <c r="BN109" s="56">
        <f t="shared" si="90"/>
        <v>4150.8550839299987</v>
      </c>
      <c r="BO109" s="100">
        <f t="shared" si="110"/>
        <v>0.10498561640576209</v>
      </c>
      <c r="BP109" s="100">
        <f t="shared" si="111"/>
        <v>0.16574384466972503</v>
      </c>
      <c r="BQ109" s="100">
        <f t="shared" si="119"/>
        <v>0.27019383495722504</v>
      </c>
      <c r="BR109" s="2">
        <f t="shared" si="78"/>
        <v>0.36527455652632895</v>
      </c>
      <c r="BS109" s="2">
        <f>+Datos1[[#This Row],[RON acumulado 12 meses]]/Datos1[[#This Row],[PIB nominal (miles de millones de G.)]]*100</f>
        <v>2.9372901611823958</v>
      </c>
      <c r="BT109" s="56">
        <v>341.19722061900001</v>
      </c>
      <c r="BU109" s="56">
        <f>SUMIFS($BT$3:$BT109,$D$3:$D109,D109)</f>
        <v>1717.317107781</v>
      </c>
      <c r="BV109" s="56">
        <f t="shared" si="98"/>
        <v>2325.4617265910001</v>
      </c>
      <c r="BW109" s="100">
        <f t="shared" si="112"/>
        <v>0.2029328327611235</v>
      </c>
      <c r="BX109" s="100">
        <f t="shared" si="113"/>
        <v>3.5539900969436156E-2</v>
      </c>
      <c r="BY109" s="100">
        <f t="shared" si="120"/>
        <v>8.5310149289727466E-2</v>
      </c>
      <c r="BZ109" s="56">
        <f t="shared" si="79"/>
        <v>49.071072705311806</v>
      </c>
      <c r="CA109" s="56">
        <f>Datos1[[#This Row],[Adquisición Neta de Activos no Financieros]]/Datos1[[#This Row],[PIB nominal (miles de millones de G.)]]*100</f>
        <v>0.2414430807346078</v>
      </c>
      <c r="CB109" s="56">
        <f>+Datos1[[#This Row],[ANANF acumulado por año]]/Datos1[[#This Row],[PIB nominal (miles de millones de G.)]]*100</f>
        <v>1.2152336186932049</v>
      </c>
      <c r="CC109" s="56">
        <f>+Datos1[[#This Row],[ANANF acumulado 12 meses]]/Datos1[[#This Row],[PIB nominal (miles de millones de G.)]]*100</f>
        <v>1.6455780102192465</v>
      </c>
      <c r="CD109" s="4">
        <v>138.72823384699998</v>
      </c>
      <c r="CE109" s="4">
        <f t="shared" si="80"/>
        <v>19.951930549244771</v>
      </c>
      <c r="CF109" s="4">
        <f t="shared" si="81"/>
        <v>202.46898677200002</v>
      </c>
      <c r="CG109" s="4">
        <f t="shared" si="82"/>
        <v>29.119142156067031</v>
      </c>
      <c r="CH109" s="56">
        <f t="shared" si="83"/>
        <v>174.99344042799936</v>
      </c>
      <c r="CI109" s="56">
        <f>SUMIFS($CH$3:$CH109,$D$3:$D109,D109)</f>
        <v>2736.4890968389982</v>
      </c>
      <c r="CJ109" s="56">
        <f t="shared" si="91"/>
        <v>1825.3933573389982</v>
      </c>
      <c r="CK109" s="56">
        <f>Datos1[[#This Row],[Resultado Fiscal (miles de millones de G.)]]*1000/$F$207</f>
        <v>25.167601959407115</v>
      </c>
      <c r="CL109" s="56">
        <f t="shared" si="99"/>
        <v>262.5285457814399</v>
      </c>
      <c r="CM109" s="100">
        <f t="shared" si="114"/>
        <v>-4.640483226426817E-2</v>
      </c>
      <c r="CN109" s="100">
        <f t="shared" si="115"/>
        <v>0.26560891211307092</v>
      </c>
      <c r="CO109" s="100">
        <f t="shared" si="121"/>
        <v>0.62225340123475847</v>
      </c>
      <c r="CP109" s="4">
        <f t="shared" si="84"/>
        <v>0.12383147579172113</v>
      </c>
      <c r="CQ109" s="4">
        <f t="shared" si="92"/>
        <v>1.2917121509631488</v>
      </c>
      <c r="CR109" s="73">
        <v>666.74559846299996</v>
      </c>
      <c r="CS109" s="113">
        <f>SUM(Datos1[[#This Row],[FFPP]:[MTESS]])</f>
        <v>0</v>
      </c>
      <c r="CT109" s="113"/>
      <c r="CU109" s="113"/>
      <c r="CV109" s="113"/>
      <c r="CW109" s="113"/>
      <c r="CX109" s="113"/>
      <c r="CY109" s="113"/>
      <c r="CZ109" s="113"/>
    </row>
    <row r="110" spans="1:104">
      <c r="A110">
        <v>108</v>
      </c>
      <c r="B110" s="3">
        <v>40878</v>
      </c>
      <c r="C110" s="14" t="str">
        <f t="shared" si="66"/>
        <v>Diciembre</v>
      </c>
      <c r="D110" s="14">
        <f t="shared" si="85"/>
        <v>2011</v>
      </c>
      <c r="E110" s="15">
        <f t="shared" si="67"/>
        <v>141315.79980709453</v>
      </c>
      <c r="F110" s="15">
        <f t="shared" si="125"/>
        <v>4196.178620091895</v>
      </c>
      <c r="G110" s="56">
        <v>1854.3482631790002</v>
      </c>
      <c r="H110" s="4">
        <f t="shared" si="86"/>
        <v>1.3122016545285871</v>
      </c>
      <c r="I110" s="4">
        <f>SUMIFS($G$3:$G110,$D$3:$D110,D110)</f>
        <v>18969.235392702998</v>
      </c>
      <c r="J110" s="2">
        <f t="shared" si="93"/>
        <v>18969.235392702998</v>
      </c>
      <c r="K110" s="95">
        <f t="shared" si="100"/>
        <v>0.16790228578739508</v>
      </c>
      <c r="L110" s="95">
        <f t="shared" si="101"/>
        <v>2.6334472554776722E-2</v>
      </c>
      <c r="M110" s="95">
        <f t="shared" si="116"/>
        <v>0.16790228578739508</v>
      </c>
      <c r="N110" s="4">
        <v>1072.5659272160001</v>
      </c>
      <c r="O110" s="4">
        <f t="shared" si="69"/>
        <v>0.75898514439300069</v>
      </c>
      <c r="P110" s="4">
        <f>SUMIFS($N$3:$N110,$D$3:$D110,D110)</f>
        <v>13210.733114044</v>
      </c>
      <c r="Q110" s="4">
        <f t="shared" ref="Q110:Q141" si="127">SUM(N99:N110)</f>
        <v>13210.733114044</v>
      </c>
      <c r="R110" s="97">
        <f t="shared" si="102"/>
        <v>2.5665677759406869E-2</v>
      </c>
      <c r="S110" s="97">
        <f t="shared" si="103"/>
        <v>0.15827463608633074</v>
      </c>
      <c r="T110" s="97">
        <f t="shared" si="117"/>
        <v>0.15827463608633074</v>
      </c>
      <c r="U110" s="4">
        <v>399.57213565899997</v>
      </c>
      <c r="V110" s="4">
        <f t="shared" si="94"/>
        <v>6318.4162701229998</v>
      </c>
      <c r="W110" s="97">
        <f t="shared" si="122"/>
        <v>0.18887517920888119</v>
      </c>
      <c r="X110" s="97">
        <f t="shared" si="104"/>
        <v>0.11810291370276116</v>
      </c>
      <c r="Y110" s="4">
        <v>612.020770653</v>
      </c>
      <c r="Z110" s="4">
        <f t="shared" si="95"/>
        <v>6861.9113263629997</v>
      </c>
      <c r="AA110" s="97">
        <f t="shared" si="123"/>
        <v>0.13022459133718023</v>
      </c>
      <c r="AB110" s="97">
        <f t="shared" si="105"/>
        <v>-4.0815123584176272E-2</v>
      </c>
      <c r="AC110" s="4">
        <v>112.98086558199999</v>
      </c>
      <c r="AD110" s="4">
        <f t="shared" si="70"/>
        <v>7.9949210021969516E-2</v>
      </c>
      <c r="AE110" s="4">
        <v>428.08527882800007</v>
      </c>
      <c r="AF110" s="4">
        <f t="shared" si="71"/>
        <v>0.302928108118388</v>
      </c>
      <c r="AG110" s="4">
        <v>240.71619155299999</v>
      </c>
      <c r="AH110" s="4">
        <f t="shared" si="72"/>
        <v>57.365573143244404</v>
      </c>
      <c r="AI110" s="4">
        <v>140.642880478</v>
      </c>
      <c r="AJ110" s="4">
        <f t="shared" si="73"/>
        <v>20.227295523977951</v>
      </c>
      <c r="AK110" s="101">
        <f>SUMIFS($AJ$3:$AJ110,$D$3:$D110,D110)</f>
        <v>212.94889904997126</v>
      </c>
      <c r="AL110" s="4">
        <v>0</v>
      </c>
      <c r="AM110" s="4">
        <f t="shared" si="74"/>
        <v>0</v>
      </c>
      <c r="AN110" s="101">
        <f>SUMIFS($AM$3:$AM110,$D$3:$D110,D110)</f>
        <v>0</v>
      </c>
      <c r="AO110" s="4">
        <f t="shared" si="87"/>
        <v>100.07331107499999</v>
      </c>
      <c r="AP110" s="56">
        <v>2800.1506920699999</v>
      </c>
      <c r="AQ110" s="4">
        <f t="shared" si="75"/>
        <v>1.9814845161633672</v>
      </c>
      <c r="AR110" s="4">
        <f>SUMIFS($AP$3:$AP110,$D$3:$D110,D110)</f>
        <v>15461.231616973999</v>
      </c>
      <c r="AS110" s="4">
        <f t="shared" si="96"/>
        <v>15461.231616973999</v>
      </c>
      <c r="AT110" s="97">
        <f t="shared" si="106"/>
        <v>0.32726233049119435</v>
      </c>
      <c r="AU110" s="97">
        <f t="shared" si="107"/>
        <v>0.21507352963925119</v>
      </c>
      <c r="AV110" s="98">
        <f t="shared" si="118"/>
        <v>0.21507352963925119</v>
      </c>
      <c r="AW110" s="4">
        <v>1268.0133381529997</v>
      </c>
      <c r="AX110" s="4">
        <f>SUMIFS($AW$3:$AW110,$D$3:$D110,D110)</f>
        <v>7915.5245290740004</v>
      </c>
      <c r="AY110" s="4">
        <f t="shared" si="97"/>
        <v>7915.5245290740004</v>
      </c>
      <c r="AZ110" s="97">
        <f t="shared" si="108"/>
        <v>0.15582392187007255</v>
      </c>
      <c r="BA110" s="97">
        <f t="shared" si="109"/>
        <v>0.15586277647874169</v>
      </c>
      <c r="BB110" s="97">
        <f t="shared" si="124"/>
        <v>0.15586277647874169</v>
      </c>
      <c r="BC110" s="4">
        <v>418.17349923500001</v>
      </c>
      <c r="BD110" s="4">
        <f t="shared" si="88"/>
        <v>849.83983891799971</v>
      </c>
      <c r="BE110" s="4">
        <v>349.715068519</v>
      </c>
      <c r="BF110" s="4">
        <v>33.360797421999997</v>
      </c>
      <c r="BG110" s="4">
        <f t="shared" si="76"/>
        <v>4.7979585321129052</v>
      </c>
      <c r="BH110" s="4">
        <f>Datos1[[#This Row],[Intereses]]/Datos1[[#This Row],[PIB nominal (miles de millones de G.)]]*100</f>
        <v>2.3607266468108807E-2</v>
      </c>
      <c r="BI110" s="4">
        <v>657.626758784</v>
      </c>
      <c r="BJ110" s="4">
        <v>325.68677926099997</v>
      </c>
      <c r="BK110" s="4">
        <v>165.74794993100002</v>
      </c>
      <c r="BL110" s="56">
        <f t="shared" si="126"/>
        <v>-945.80242889099964</v>
      </c>
      <c r="BM110" s="56">
        <f>SUMIFS($BL$3:$BL110,$D$3:$D110,D110)</f>
        <v>3508.0037757289988</v>
      </c>
      <c r="BN110" s="56">
        <f t="shared" ref="BN110:BN141" si="128">SUM(BL99:BL110)</f>
        <v>3508.0037757289988</v>
      </c>
      <c r="BO110" s="100">
        <f t="shared" si="110"/>
        <v>2.1219637898577308</v>
      </c>
      <c r="BP110" s="100">
        <f t="shared" si="111"/>
        <v>-2.7334718850415829E-3</v>
      </c>
      <c r="BQ110" s="100">
        <f t="shared" si="119"/>
        <v>-2.7334718850415829E-3</v>
      </c>
      <c r="BR110" s="2">
        <f t="shared" si="78"/>
        <v>-0.66928286163478035</v>
      </c>
      <c r="BS110" s="2">
        <f>+Datos1[[#This Row],[RON acumulado 12 meses]]/Datos1[[#This Row],[PIB nominal (miles de millones de G.)]]*100</f>
        <v>2.4823861029818728</v>
      </c>
      <c r="BT110" s="56">
        <v>736.63733869899988</v>
      </c>
      <c r="BU110" s="56">
        <f>SUMIFS($BT$3:$BT110,$D$3:$D110,D110)</f>
        <v>2453.9544464800001</v>
      </c>
      <c r="BV110" s="56">
        <f t="shared" si="98"/>
        <v>2453.9544464800001</v>
      </c>
      <c r="BW110" s="100">
        <f t="shared" si="112"/>
        <v>0.21128645377218103</v>
      </c>
      <c r="BX110" s="100">
        <f t="shared" si="113"/>
        <v>8.2695528665832629E-2</v>
      </c>
      <c r="BY110" s="100">
        <f t="shared" si="120"/>
        <v>8.2695528665832629E-2</v>
      </c>
      <c r="BZ110" s="56">
        <f t="shared" si="79"/>
        <v>105.94337298283692</v>
      </c>
      <c r="CA110" s="56">
        <f>Datos1[[#This Row],[Adquisición Neta de Activos no Financieros]]/Datos1[[#This Row],[PIB nominal (miles de millones de G.)]]*100</f>
        <v>0.52127033191232608</v>
      </c>
      <c r="CB110" s="56">
        <f>+Datos1[[#This Row],[ANANF acumulado por año]]/Datos1[[#This Row],[PIB nominal (miles de millones de G.)]]*100</f>
        <v>1.7365039506055311</v>
      </c>
      <c r="CC110" s="56">
        <f>+Datos1[[#This Row],[ANANF acumulado 12 meses]]/Datos1[[#This Row],[PIB nominal (miles de millones de G.)]]*100</f>
        <v>1.7365039506055311</v>
      </c>
      <c r="CD110" s="4">
        <v>225.277738994</v>
      </c>
      <c r="CE110" s="4">
        <f t="shared" si="80"/>
        <v>32.399502812501041</v>
      </c>
      <c r="CF110" s="4">
        <f t="shared" si="81"/>
        <v>511.35959970499988</v>
      </c>
      <c r="CG110" s="4">
        <f t="shared" si="82"/>
        <v>73.543870170335893</v>
      </c>
      <c r="CH110" s="56">
        <f t="shared" si="83"/>
        <v>-1682.4397675899995</v>
      </c>
      <c r="CI110" s="56">
        <f>SUMIFS($CH$3:$CH110,$D$3:$D110,D110)</f>
        <v>1054.0493292489987</v>
      </c>
      <c r="CJ110" s="56">
        <f t="shared" ref="CJ110:CJ141" si="129">SUM(CH99:CH110)</f>
        <v>1054.0493292489987</v>
      </c>
      <c r="CK110" s="56">
        <f>Datos1[[#This Row],[Resultado Fiscal (miles de millones de G.)]]*1000/$F$207</f>
        <v>-241.96892345118752</v>
      </c>
      <c r="CL110" s="56">
        <f t="shared" si="99"/>
        <v>151.59364773466294</v>
      </c>
      <c r="CM110" s="100">
        <f t="shared" si="114"/>
        <v>0.84661138741939967</v>
      </c>
      <c r="CN110" s="100">
        <f t="shared" si="115"/>
        <v>-0.15749922085028245</v>
      </c>
      <c r="CO110" s="100">
        <f t="shared" si="121"/>
        <v>-0.15749922085028245</v>
      </c>
      <c r="CP110" s="4">
        <f t="shared" si="84"/>
        <v>-1.1905531935471063</v>
      </c>
      <c r="CQ110" s="4">
        <f t="shared" ref="CQ110:CQ141" si="130">+CJ110/E110*100</f>
        <v>0.74588215237634159</v>
      </c>
      <c r="CR110" s="73">
        <v>1335.559531824</v>
      </c>
      <c r="CS110" s="113">
        <f>SUM(Datos1[[#This Row],[FFPP]:[MTESS]])</f>
        <v>0</v>
      </c>
      <c r="CT110" s="113"/>
      <c r="CU110" s="113"/>
      <c r="CV110" s="113"/>
      <c r="CW110" s="113"/>
      <c r="CX110" s="113"/>
      <c r="CY110" s="113"/>
      <c r="CZ110" s="113"/>
    </row>
    <row r="111" spans="1:104">
      <c r="A111">
        <v>109</v>
      </c>
      <c r="B111" s="76">
        <v>40909</v>
      </c>
      <c r="C111" s="14" t="str">
        <f t="shared" si="66"/>
        <v>Enero</v>
      </c>
      <c r="D111" s="14">
        <f t="shared" si="85"/>
        <v>2012</v>
      </c>
      <c r="E111" s="15">
        <f t="shared" si="67"/>
        <v>147275.54197665266</v>
      </c>
      <c r="F111" s="15">
        <f t="shared" si="125"/>
        <v>4422.0911214209764</v>
      </c>
      <c r="G111" s="56">
        <v>1528.9273107419999</v>
      </c>
      <c r="H111" s="4">
        <f t="shared" si="86"/>
        <v>1.0381406785006966</v>
      </c>
      <c r="I111" s="4">
        <f>SUMIFS($G$3:$G111,$D$3:$D111,D111)</f>
        <v>1528.9273107419999</v>
      </c>
      <c r="J111" s="2">
        <f t="shared" si="93"/>
        <v>19252.602604038999</v>
      </c>
      <c r="K111" s="95">
        <f t="shared" si="100"/>
        <v>0.22750183750357444</v>
      </c>
      <c r="L111" s="95">
        <f t="shared" si="101"/>
        <v>0.22750183750357444</v>
      </c>
      <c r="M111" s="95">
        <f t="shared" si="116"/>
        <v>0.16929068608233511</v>
      </c>
      <c r="N111" s="4">
        <v>992.61145079999994</v>
      </c>
      <c r="O111" s="4">
        <f t="shared" si="69"/>
        <v>0.67398254827495852</v>
      </c>
      <c r="P111" s="4">
        <f>SUMIFS($N$3:$N111,$D$3:$D111,D111)</f>
        <v>992.61145079999994</v>
      </c>
      <c r="Q111" s="4">
        <f t="shared" si="127"/>
        <v>13264.927571888999</v>
      </c>
      <c r="R111" s="97">
        <f t="shared" si="102"/>
        <v>5.7750934021714606E-2</v>
      </c>
      <c r="S111" s="97">
        <f t="shared" si="103"/>
        <v>5.7750934021714606E-2</v>
      </c>
      <c r="T111" s="97">
        <f t="shared" si="117"/>
        <v>0.1436017537311407</v>
      </c>
      <c r="U111" s="4">
        <v>484.84428664265846</v>
      </c>
      <c r="V111" s="4">
        <f t="shared" si="94"/>
        <v>6368.2162872156578</v>
      </c>
      <c r="W111" s="97">
        <f t="shared" si="122"/>
        <v>0.18912696115860506</v>
      </c>
      <c r="X111" s="97">
        <f t="shared" si="104"/>
        <v>0.11447114829065663</v>
      </c>
      <c r="Y111" s="4">
        <v>513.10426209900004</v>
      </c>
      <c r="Z111" s="4">
        <f t="shared" si="95"/>
        <v>6871.2055036769998</v>
      </c>
      <c r="AA111" s="97">
        <f t="shared" si="123"/>
        <v>0.10851939623112483</v>
      </c>
      <c r="AB111" s="97">
        <f t="shared" si="105"/>
        <v>1.844777942062481E-2</v>
      </c>
      <c r="AC111" s="4">
        <v>8.9302233369999993</v>
      </c>
      <c r="AD111" s="4">
        <f t="shared" si="70"/>
        <v>6.0636160065299181E-3</v>
      </c>
      <c r="AE111" s="4">
        <v>48.572344624999999</v>
      </c>
      <c r="AF111" s="4">
        <f t="shared" si="71"/>
        <v>3.298059132771692E-2</v>
      </c>
      <c r="AG111" s="4">
        <v>478.81329197999992</v>
      </c>
      <c r="AH111" s="4">
        <f t="shared" si="72"/>
        <v>108.27757249519092</v>
      </c>
      <c r="AI111" s="4">
        <v>168.511634867</v>
      </c>
      <c r="AJ111" s="4">
        <f t="shared" si="73"/>
        <v>24.235387003586389</v>
      </c>
      <c r="AK111" s="101">
        <f>SUMIFS($AJ$3:$AJ111,$D$3:$D111,D111)</f>
        <v>24.235387003586389</v>
      </c>
      <c r="AL111" s="4">
        <v>0</v>
      </c>
      <c r="AM111" s="4">
        <f t="shared" si="74"/>
        <v>0</v>
      </c>
      <c r="AN111" s="101">
        <f>SUMIFS($AM$3:$AM111,$D$3:$D111,D111)</f>
        <v>0</v>
      </c>
      <c r="AO111" s="4">
        <f t="shared" si="87"/>
        <v>310.30165711299992</v>
      </c>
      <c r="AP111" s="56">
        <v>945.55378436800004</v>
      </c>
      <c r="AQ111" s="4">
        <f t="shared" si="75"/>
        <v>0.64203042248379372</v>
      </c>
      <c r="AR111" s="4">
        <f>SUMIFS($AP$3:$AP111,$D$3:$D111,D111)</f>
        <v>945.55378436800004</v>
      </c>
      <c r="AS111" s="4">
        <f t="shared" si="96"/>
        <v>15667.343801550998</v>
      </c>
      <c r="AT111" s="97">
        <f t="shared" si="106"/>
        <v>0.27874031517195763</v>
      </c>
      <c r="AU111" s="97">
        <f t="shared" si="107"/>
        <v>0.27874031517195763</v>
      </c>
      <c r="AV111" s="98">
        <f t="shared" si="118"/>
        <v>0.22655520123022277</v>
      </c>
      <c r="AW111" s="4">
        <v>670.22297043799995</v>
      </c>
      <c r="AX111" s="4">
        <f>SUMIFS($AW$3:$AW111,$D$3:$D111,D111)</f>
        <v>670.22297043799995</v>
      </c>
      <c r="AY111" s="4">
        <f t="shared" si="97"/>
        <v>8074.6949308109997</v>
      </c>
      <c r="AZ111" s="97">
        <f t="shared" si="108"/>
        <v>0.31145602524135896</v>
      </c>
      <c r="BA111" s="97">
        <f t="shared" si="109"/>
        <v>0.31145602524135896</v>
      </c>
      <c r="BB111" s="97">
        <f t="shared" si="124"/>
        <v>0.17220498602427114</v>
      </c>
      <c r="BC111" s="4">
        <v>511.228994489</v>
      </c>
      <c r="BD111" s="4">
        <f t="shared" si="88"/>
        <v>158.99397594899995</v>
      </c>
      <c r="BE111" s="4">
        <v>18.566122175</v>
      </c>
      <c r="BF111" s="4">
        <v>10.795707879</v>
      </c>
      <c r="BG111" s="4">
        <f t="shared" si="76"/>
        <v>1.5526415053283005</v>
      </c>
      <c r="BH111" s="4">
        <f>Datos1[[#This Row],[Intereses]]/Datos1[[#This Row],[PIB nominal (miles de millones de G.)]]*100</f>
        <v>7.3302788325242934E-3</v>
      </c>
      <c r="BI111" s="4">
        <v>14.401702405</v>
      </c>
      <c r="BJ111" s="4">
        <v>207.22274620599998</v>
      </c>
      <c r="BK111" s="4">
        <v>24.344535265000001</v>
      </c>
      <c r="BL111" s="56">
        <f t="shared" si="126"/>
        <v>583.37352637399988</v>
      </c>
      <c r="BM111" s="56">
        <f>SUMIFS($BL$3:$BL111,$D$3:$D111,D111)</f>
        <v>583.37352637399988</v>
      </c>
      <c r="BN111" s="56">
        <f t="shared" si="128"/>
        <v>3585.2588024879992</v>
      </c>
      <c r="BO111" s="100">
        <f t="shared" si="110"/>
        <v>0.15264217138430447</v>
      </c>
      <c r="BP111" s="100">
        <f t="shared" si="111"/>
        <v>0.15264217138430447</v>
      </c>
      <c r="BQ111" s="100">
        <f t="shared" si="119"/>
        <v>-2.8844696782266643E-2</v>
      </c>
      <c r="BR111" s="2">
        <f t="shared" si="78"/>
        <v>0.3961102560169027</v>
      </c>
      <c r="BS111" s="2">
        <f>+Datos1[[#This Row],[RON acumulado 12 meses]]/Datos1[[#This Row],[PIB nominal (miles de millones de G.)]]*100</f>
        <v>2.4343884628558108</v>
      </c>
      <c r="BT111" s="56">
        <v>27.989961966999999</v>
      </c>
      <c r="BU111" s="56">
        <f>SUMIFS($BT$3:$BT111,$D$3:$D111,D111)</f>
        <v>27.989961966999999</v>
      </c>
      <c r="BV111" s="56">
        <f t="shared" si="98"/>
        <v>2442.9445774709998</v>
      </c>
      <c r="BW111" s="100">
        <f t="shared" si="112"/>
        <v>-0.28230555706190963</v>
      </c>
      <c r="BX111" s="100">
        <f t="shared" si="113"/>
        <v>-0.28230555706190963</v>
      </c>
      <c r="BY111" s="100">
        <f t="shared" si="120"/>
        <v>7.1881341800349441E-2</v>
      </c>
      <c r="BZ111" s="56">
        <f t="shared" si="79"/>
        <v>4.0255235848925439</v>
      </c>
      <c r="CA111" s="56">
        <f>Datos1[[#This Row],[Adquisición Neta de Activos no Financieros]]/Datos1[[#This Row],[PIB nominal (miles de millones de G.)]]*100</f>
        <v>1.9005166500380082E-2</v>
      </c>
      <c r="CB111" s="56">
        <f>+Datos1[[#This Row],[ANANF acumulado por año]]/Datos1[[#This Row],[PIB nominal (miles de millones de G.)]]*100</f>
        <v>1.9005166500380082E-2</v>
      </c>
      <c r="CC111" s="56">
        <f>+Datos1[[#This Row],[ANANF acumulado 12 meses]]/Datos1[[#This Row],[PIB nominal (miles de millones de G.)]]*100</f>
        <v>1.6587578254224151</v>
      </c>
      <c r="CD111" s="4">
        <v>10.219476956999999</v>
      </c>
      <c r="CE111" s="4">
        <f t="shared" si="80"/>
        <v>1.4697678247713133</v>
      </c>
      <c r="CF111" s="4">
        <f t="shared" si="81"/>
        <v>17.770485010000002</v>
      </c>
      <c r="CG111" s="4">
        <f t="shared" si="82"/>
        <v>2.5557557601212304</v>
      </c>
      <c r="CH111" s="56">
        <f t="shared" si="83"/>
        <v>555.38356440699988</v>
      </c>
      <c r="CI111" s="56">
        <f>SUMIFS($CH$3:$CH111,$D$3:$D111,D111)</f>
        <v>555.38356440699988</v>
      </c>
      <c r="CJ111" s="56">
        <f t="shared" si="129"/>
        <v>1142.3142250169985</v>
      </c>
      <c r="CK111" s="56">
        <f>Datos1[[#This Row],[Resultado Fiscal (miles de millones de G.)]]*1000/$F$207</f>
        <v>79.875408184475333</v>
      </c>
      <c r="CL111" s="56">
        <f t="shared" si="99"/>
        <v>164.28792792164842</v>
      </c>
      <c r="CM111" s="100">
        <f t="shared" si="114"/>
        <v>0.18895604413578471</v>
      </c>
      <c r="CN111" s="100">
        <f t="shared" si="115"/>
        <v>0.18895604413578471</v>
      </c>
      <c r="CO111" s="100">
        <f t="shared" si="121"/>
        <v>-0.19135502402598747</v>
      </c>
      <c r="CP111" s="4">
        <f t="shared" si="84"/>
        <v>0.37710508951652266</v>
      </c>
      <c r="CQ111" s="4">
        <f t="shared" si="130"/>
        <v>0.77563063743339522</v>
      </c>
      <c r="CR111" s="73">
        <v>739.55667201699998</v>
      </c>
      <c r="CS111" s="113">
        <f>SUM(Datos1[[#This Row],[FFPP]:[MTESS]])</f>
        <v>0</v>
      </c>
      <c r="CT111" s="113"/>
      <c r="CU111" s="113"/>
      <c r="CV111" s="113"/>
      <c r="CW111" s="113"/>
      <c r="CX111" s="113"/>
      <c r="CY111" s="113"/>
      <c r="CZ111" s="113"/>
    </row>
    <row r="112" spans="1:104">
      <c r="A112">
        <v>110</v>
      </c>
      <c r="B112" s="3">
        <v>40940</v>
      </c>
      <c r="C112" s="14" t="str">
        <f t="shared" si="66"/>
        <v>Febrero</v>
      </c>
      <c r="D112" s="14">
        <f t="shared" si="85"/>
        <v>2012</v>
      </c>
      <c r="E112" s="15">
        <f t="shared" si="67"/>
        <v>147275.54197665266</v>
      </c>
      <c r="F112" s="15">
        <f t="shared" si="125"/>
        <v>4422.0911214209764</v>
      </c>
      <c r="G112" s="56">
        <v>1418.8697596560003</v>
      </c>
      <c r="H112" s="4">
        <f t="shared" si="86"/>
        <v>0.96341167081288437</v>
      </c>
      <c r="I112" s="4">
        <f>SUMIFS($G$3:$G112,$D$3:$D112,D112)</f>
        <v>2947.797070398</v>
      </c>
      <c r="J112" s="2">
        <f t="shared" si="93"/>
        <v>19214.050818513999</v>
      </c>
      <c r="K112" s="95">
        <f t="shared" si="100"/>
        <v>9.0572359712937089E-2</v>
      </c>
      <c r="L112" s="95">
        <f t="shared" si="101"/>
        <v>-2.645204858709016E-2</v>
      </c>
      <c r="M112" s="95">
        <f t="shared" si="116"/>
        <v>0.14492085250868247</v>
      </c>
      <c r="N112" s="4">
        <v>884.69023375400002</v>
      </c>
      <c r="O112" s="4">
        <f t="shared" si="69"/>
        <v>0.60070411005124558</v>
      </c>
      <c r="P112" s="4">
        <f>SUMIFS($N$3:$N112,$D$3:$D112,D112)</f>
        <v>1877.3016845540001</v>
      </c>
      <c r="Q112" s="4">
        <f t="shared" si="127"/>
        <v>13355.334247373999</v>
      </c>
      <c r="R112" s="97">
        <f t="shared" si="102"/>
        <v>0.11382166298648477</v>
      </c>
      <c r="S112" s="97">
        <f t="shared" si="103"/>
        <v>8.3454197107430073E-2</v>
      </c>
      <c r="T112" s="97">
        <f t="shared" si="117"/>
        <v>0.14868974428529502</v>
      </c>
      <c r="U112" s="4">
        <v>366.42777580865857</v>
      </c>
      <c r="V112" s="4">
        <f t="shared" si="94"/>
        <v>6402.4121895413173</v>
      </c>
      <c r="W112" s="97">
        <f t="shared" si="122"/>
        <v>0.18917319204733007</v>
      </c>
      <c r="X112" s="97">
        <f t="shared" si="104"/>
        <v>0.10292781955915609</v>
      </c>
      <c r="Y112" s="4">
        <v>492.77951435599999</v>
      </c>
      <c r="Z112" s="4">
        <f t="shared" si="95"/>
        <v>6835.57010464</v>
      </c>
      <c r="AA112" s="97">
        <f t="shared" si="123"/>
        <v>8.740031482857602E-2</v>
      </c>
      <c r="AB112" s="97">
        <f t="shared" si="105"/>
        <v>-6.7438291641282011E-2</v>
      </c>
      <c r="AC112" s="4">
        <v>217.36357543400001</v>
      </c>
      <c r="AD112" s="4">
        <f t="shared" si="70"/>
        <v>0.1475897304580677</v>
      </c>
      <c r="AE112" s="4">
        <v>47.590884804999995</v>
      </c>
      <c r="AF112" s="4">
        <f t="shared" si="71"/>
        <v>3.231418072971308E-2</v>
      </c>
      <c r="AG112" s="4">
        <v>269.22506566300007</v>
      </c>
      <c r="AH112" s="4">
        <f t="shared" si="72"/>
        <v>60.881844871728553</v>
      </c>
      <c r="AI112" s="4">
        <v>154.494627052</v>
      </c>
      <c r="AJ112" s="4">
        <f t="shared" si="73"/>
        <v>22.219457306524593</v>
      </c>
      <c r="AK112" s="101">
        <f>SUMIFS($AJ$3:$AJ112,$D$3:$D112,D112)</f>
        <v>46.454844310110985</v>
      </c>
      <c r="AL112" s="4">
        <v>123.943000029</v>
      </c>
      <c r="AM112" s="4">
        <f t="shared" si="74"/>
        <v>17.825514389312808</v>
      </c>
      <c r="AN112" s="101">
        <f>SUMIFS($AM$3:$AM112,$D$3:$D112,D112)</f>
        <v>17.825514389312808</v>
      </c>
      <c r="AO112" s="4">
        <f t="shared" si="87"/>
        <v>-9.212561417999936</v>
      </c>
      <c r="AP112" s="56">
        <v>1389.4406080599999</v>
      </c>
      <c r="AQ112" s="4">
        <f t="shared" si="75"/>
        <v>0.94342929546323817</v>
      </c>
      <c r="AR112" s="4">
        <f>SUMIFS($AP$3:$AP112,$D$3:$D112,D112)</f>
        <v>2334.9943924280001</v>
      </c>
      <c r="AS112" s="4">
        <f t="shared" si="96"/>
        <v>16065.831779959</v>
      </c>
      <c r="AT112" s="97">
        <f t="shared" si="106"/>
        <v>0.40212616272882773</v>
      </c>
      <c r="AU112" s="97">
        <f t="shared" si="107"/>
        <v>0.34940024226711386</v>
      </c>
      <c r="AV112" s="98">
        <f t="shared" si="118"/>
        <v>0.24145436668338327</v>
      </c>
      <c r="AW112" s="4">
        <v>799.913737631</v>
      </c>
      <c r="AX112" s="4">
        <f>SUMIFS($AW$3:$AW112,$D$3:$D112,D112)</f>
        <v>1470.136708069</v>
      </c>
      <c r="AY112" s="4">
        <f t="shared" si="97"/>
        <v>8264.6443702200013</v>
      </c>
      <c r="AZ112" s="97">
        <f t="shared" si="108"/>
        <v>0.31141074971549698</v>
      </c>
      <c r="BA112" s="97">
        <f t="shared" si="109"/>
        <v>0.31143139005952203</v>
      </c>
      <c r="BB112" s="97">
        <f t="shared" si="124"/>
        <v>0.18419691549867023</v>
      </c>
      <c r="BC112" s="4">
        <v>514.32512419800003</v>
      </c>
      <c r="BD112" s="4">
        <f t="shared" si="88"/>
        <v>285.58861343299998</v>
      </c>
      <c r="BE112" s="4">
        <v>42.795982266999999</v>
      </c>
      <c r="BF112" s="4">
        <v>31.118587382999998</v>
      </c>
      <c r="BG112" s="4">
        <f t="shared" si="76"/>
        <v>4.4754833031390673</v>
      </c>
      <c r="BH112" s="4">
        <f>Datos1[[#This Row],[Intereses]]/Datos1[[#This Row],[PIB nominal (miles de millones de G.)]]*100</f>
        <v>2.1129501182167217E-2</v>
      </c>
      <c r="BI112" s="4">
        <v>325.69627418499999</v>
      </c>
      <c r="BJ112" s="4">
        <v>172.66675899399999</v>
      </c>
      <c r="BK112" s="4">
        <v>17.2492676</v>
      </c>
      <c r="BL112" s="56">
        <f t="shared" si="126"/>
        <v>29.429151596000338</v>
      </c>
      <c r="BM112" s="56">
        <f>SUMIFS($BL$3:$BL112,$D$3:$D112,D112)</f>
        <v>612.80267797000022</v>
      </c>
      <c r="BN112" s="56">
        <f t="shared" si="128"/>
        <v>3148.2190385549989</v>
      </c>
      <c r="BO112" s="100">
        <f t="shared" si="110"/>
        <v>-0.93691079809117372</v>
      </c>
      <c r="BP112" s="100">
        <f t="shared" si="111"/>
        <v>-0.3699253471429409</v>
      </c>
      <c r="BQ112" s="100">
        <f t="shared" si="119"/>
        <v>-0.18033333867072865</v>
      </c>
      <c r="BR112" s="2">
        <f t="shared" si="78"/>
        <v>1.99823753496461E-2</v>
      </c>
      <c r="BS112" s="2">
        <f>+Datos1[[#This Row],[RON acumulado 12 meses]]/Datos1[[#This Row],[PIB nominal (miles de millones de G.)]]*100</f>
        <v>2.1376387391289184</v>
      </c>
      <c r="BT112" s="56">
        <v>57.612822135000002</v>
      </c>
      <c r="BU112" s="56">
        <f>SUMIFS($BT$3:$BT112,$D$3:$D112,D112)</f>
        <v>85.602784102000001</v>
      </c>
      <c r="BV112" s="56">
        <f t="shared" si="98"/>
        <v>2412.0336649180003</v>
      </c>
      <c r="BW112" s="100">
        <f t="shared" si="112"/>
        <v>-0.34918220138299449</v>
      </c>
      <c r="BX112" s="100">
        <f t="shared" si="113"/>
        <v>-0.32872968493096533</v>
      </c>
      <c r="BY112" s="100">
        <f t="shared" si="120"/>
        <v>9.2619490134685289E-2</v>
      </c>
      <c r="BZ112" s="56">
        <f t="shared" si="79"/>
        <v>8.2858910122884808</v>
      </c>
      <c r="CA112" s="56">
        <f>Datos1[[#This Row],[Adquisición Neta de Activos no Financieros]]/Datos1[[#This Row],[PIB nominal (miles de millones de G.)]]*100</f>
        <v>3.9119069848090098E-2</v>
      </c>
      <c r="CB112" s="56">
        <f>+Datos1[[#This Row],[ANANF acumulado por año]]/Datos1[[#This Row],[PIB nominal (miles de millones de G.)]]*100</f>
        <v>5.8124236348470179E-2</v>
      </c>
      <c r="CC112" s="56">
        <f>+Datos1[[#This Row],[ANANF acumulado 12 meses]]/Datos1[[#This Row],[PIB nominal (miles de millones de G.)]]*100</f>
        <v>1.6377693353186749</v>
      </c>
      <c r="CD112" s="4">
        <v>46.042951591000005</v>
      </c>
      <c r="CE112" s="4">
        <f t="shared" si="80"/>
        <v>6.6219092318224364</v>
      </c>
      <c r="CF112" s="4">
        <f t="shared" si="81"/>
        <v>11.569870543999997</v>
      </c>
      <c r="CG112" s="4">
        <f t="shared" si="82"/>
        <v>1.6639817804660439</v>
      </c>
      <c r="CH112" s="56">
        <f t="shared" si="83"/>
        <v>-28.183670538999664</v>
      </c>
      <c r="CI112" s="56">
        <f>SUMIFS($CH$3:$CH112,$D$3:$D112,D112)</f>
        <v>527.19989386800023</v>
      </c>
      <c r="CJ112" s="56">
        <f t="shared" si="129"/>
        <v>736.18537363699886</v>
      </c>
      <c r="CK112" s="56">
        <f>Datos1[[#This Row],[Resultado Fiscal (miles de millones de G.)]]*1000/$F$207</f>
        <v>-4.0533828019254168</v>
      </c>
      <c r="CL112" s="56">
        <f t="shared" si="99"/>
        <v>105.87837125047382</v>
      </c>
      <c r="CM112" s="100">
        <f t="shared" si="114"/>
        <v>-1.0745707895422443</v>
      </c>
      <c r="CN112" s="100">
        <f t="shared" si="115"/>
        <v>-0.37614193981625599</v>
      </c>
      <c r="CO112" s="100">
        <f t="shared" si="121"/>
        <v>-0.54926041825100169</v>
      </c>
      <c r="CP112" s="4">
        <f t="shared" si="84"/>
        <v>-1.9136694498443994E-2</v>
      </c>
      <c r="CQ112" s="4">
        <f t="shared" si="130"/>
        <v>0.4998694038102437</v>
      </c>
      <c r="CR112" s="73">
        <v>882.08630776300004</v>
      </c>
      <c r="CS112" s="113">
        <f>SUM(Datos1[[#This Row],[FFPP]:[MTESS]])</f>
        <v>0</v>
      </c>
      <c r="CT112" s="113"/>
      <c r="CU112" s="113"/>
      <c r="CV112" s="113"/>
      <c r="CW112" s="113"/>
      <c r="CX112" s="113"/>
      <c r="CY112" s="113"/>
      <c r="CZ112" s="113"/>
    </row>
    <row r="113" spans="1:104">
      <c r="A113">
        <v>111</v>
      </c>
      <c r="B113" s="3">
        <v>40969</v>
      </c>
      <c r="C113" s="14" t="str">
        <f t="shared" si="66"/>
        <v>Marzo</v>
      </c>
      <c r="D113" s="14">
        <f t="shared" si="85"/>
        <v>2012</v>
      </c>
      <c r="E113" s="15">
        <f t="shared" si="67"/>
        <v>147275.54197665266</v>
      </c>
      <c r="F113" s="15">
        <f t="shared" si="125"/>
        <v>4422.0911214209764</v>
      </c>
      <c r="G113" s="56">
        <v>1591.9370650359999</v>
      </c>
      <c r="H113" s="4">
        <f t="shared" si="86"/>
        <v>1.0809242618766712</v>
      </c>
      <c r="I113" s="4">
        <f>SUMIFS($G$3:$G113,$D$3:$D113,D113)</f>
        <v>4539.7341354339997</v>
      </c>
      <c r="J113" s="2">
        <f t="shared" si="93"/>
        <v>19423.363565953001</v>
      </c>
      <c r="K113" s="95">
        <f t="shared" si="100"/>
        <v>0.11115319917127819</v>
      </c>
      <c r="L113" s="95">
        <f t="shared" si="101"/>
        <v>0.15138801247383338</v>
      </c>
      <c r="M113" s="95">
        <f t="shared" si="116"/>
        <v>0.13763509735331136</v>
      </c>
      <c r="N113" s="4">
        <v>951.83542906599996</v>
      </c>
      <c r="O113" s="4">
        <f t="shared" si="69"/>
        <v>0.64629565526697763</v>
      </c>
      <c r="P113" s="4">
        <f>SUMIFS($N$3:$N113,$D$3:$D113,D113)</f>
        <v>2829.13711362</v>
      </c>
      <c r="Q113" s="4">
        <f t="shared" si="127"/>
        <v>13286.019584201</v>
      </c>
      <c r="R113" s="97">
        <f t="shared" si="102"/>
        <v>-6.787901572923416E-2</v>
      </c>
      <c r="S113" s="97">
        <f t="shared" si="103"/>
        <v>2.7338617777152407E-2</v>
      </c>
      <c r="T113" s="97">
        <f t="shared" si="117"/>
        <v>0.11552603699917197</v>
      </c>
      <c r="U113" s="4">
        <v>438.1905216306584</v>
      </c>
      <c r="V113" s="4">
        <f t="shared" si="94"/>
        <v>6444.0554481959753</v>
      </c>
      <c r="W113" s="97">
        <f t="shared" si="122"/>
        <v>0.18097624858745442</v>
      </c>
      <c r="X113" s="97">
        <f t="shared" si="104"/>
        <v>0.10501461627079411</v>
      </c>
      <c r="Y113" s="4">
        <v>550.97203156</v>
      </c>
      <c r="Z113" s="4">
        <f t="shared" si="95"/>
        <v>6810.9359479099994</v>
      </c>
      <c r="AA113" s="97">
        <f t="shared" si="123"/>
        <v>6.080372164844694E-2</v>
      </c>
      <c r="AB113" s="97">
        <f t="shared" si="105"/>
        <v>-4.2796893485774867E-2</v>
      </c>
      <c r="AC113" s="4">
        <v>145.19807134299998</v>
      </c>
      <c r="AD113" s="4">
        <f t="shared" si="70"/>
        <v>9.8589398751639273E-2</v>
      </c>
      <c r="AE113" s="4">
        <v>149.165999185</v>
      </c>
      <c r="AF113" s="4">
        <f t="shared" si="71"/>
        <v>0.10128361925067439</v>
      </c>
      <c r="AG113" s="4">
        <v>345.737565442</v>
      </c>
      <c r="AH113" s="4">
        <f t="shared" si="72"/>
        <v>78.184179373242344</v>
      </c>
      <c r="AI113" s="4">
        <v>194.48714618499997</v>
      </c>
      <c r="AJ113" s="4">
        <f t="shared" si="73"/>
        <v>27.971191774008503</v>
      </c>
      <c r="AK113" s="101">
        <f>SUMIFS($AJ$3:$AJ113,$D$3:$D113,D113)</f>
        <v>74.426036084119488</v>
      </c>
      <c r="AL113" s="4">
        <v>0</v>
      </c>
      <c r="AM113" s="4">
        <f t="shared" si="74"/>
        <v>0</v>
      </c>
      <c r="AN113" s="101">
        <f>SUMIFS($AM$3:$AM113,$D$3:$D113,D113)</f>
        <v>17.825514389312808</v>
      </c>
      <c r="AO113" s="4">
        <f t="shared" si="87"/>
        <v>151.25041925700003</v>
      </c>
      <c r="AP113" s="56">
        <v>1614.1515768740001</v>
      </c>
      <c r="AQ113" s="4">
        <f t="shared" si="75"/>
        <v>1.0960079013865647</v>
      </c>
      <c r="AR113" s="4">
        <f>SUMIFS($AP$3:$AP113,$D$3:$D113,D113)</f>
        <v>3949.1459693020001</v>
      </c>
      <c r="AS113" s="4">
        <f t="shared" si="96"/>
        <v>16429.396288466</v>
      </c>
      <c r="AT113" s="97">
        <f t="shared" si="106"/>
        <v>0.29071507110795358</v>
      </c>
      <c r="AU113" s="97">
        <f t="shared" si="107"/>
        <v>0.32478052519258305</v>
      </c>
      <c r="AV113" s="98">
        <f t="shared" si="118"/>
        <v>0.2405297890075424</v>
      </c>
      <c r="AW113" s="4">
        <v>816.96722890099988</v>
      </c>
      <c r="AX113" s="4">
        <f>SUMIFS($AW$3:$AW113,$D$3:$D113,D113)</f>
        <v>2287.1039369699997</v>
      </c>
      <c r="AY113" s="4">
        <f t="shared" si="97"/>
        <v>8470.9473968080001</v>
      </c>
      <c r="AZ113" s="97">
        <f t="shared" si="108"/>
        <v>0.33783383045311988</v>
      </c>
      <c r="BA113" s="97">
        <f t="shared" si="109"/>
        <v>0.3207420105245169</v>
      </c>
      <c r="BB113" s="97">
        <f t="shared" si="124"/>
        <v>0.19836644762707611</v>
      </c>
      <c r="BC113" s="4">
        <v>521.124486821</v>
      </c>
      <c r="BD113" s="4">
        <f t="shared" si="88"/>
        <v>295.84274207999988</v>
      </c>
      <c r="BE113" s="4">
        <v>168.376900949</v>
      </c>
      <c r="BF113" s="4">
        <v>35.383338621999997</v>
      </c>
      <c r="BG113" s="4">
        <f t="shared" si="76"/>
        <v>5.0888409317251657</v>
      </c>
      <c r="BH113" s="4">
        <f>Datos1[[#This Row],[Intereses]]/Datos1[[#This Row],[PIB nominal (miles de millones de G.)]]*100</f>
        <v>2.4025264580326076E-2</v>
      </c>
      <c r="BI113" s="4">
        <v>305.19501156200005</v>
      </c>
      <c r="BJ113" s="4">
        <v>195.560448275</v>
      </c>
      <c r="BK113" s="4">
        <v>92.668648565000012</v>
      </c>
      <c r="BL113" s="56">
        <f t="shared" si="126"/>
        <v>-22.214511838000135</v>
      </c>
      <c r="BM113" s="56">
        <f>SUMIFS($BL$3:$BL113,$D$3:$D113,D113)</f>
        <v>590.58816613200008</v>
      </c>
      <c r="BN113" s="56">
        <f t="shared" si="128"/>
        <v>2993.9672774869996</v>
      </c>
      <c r="BO113" s="100">
        <f t="shared" si="110"/>
        <v>-1.168244279304123</v>
      </c>
      <c r="BP113" s="100">
        <f t="shared" si="111"/>
        <v>-0.46534946649349762</v>
      </c>
      <c r="BQ113" s="100">
        <f t="shared" si="119"/>
        <v>-0.21820406110053625</v>
      </c>
      <c r="BR113" s="2">
        <f t="shared" si="78"/>
        <v>-1.5083639509893478E-2</v>
      </c>
      <c r="BS113" s="2">
        <f>+Datos1[[#This Row],[RON acumulado 12 meses]]/Datos1[[#This Row],[PIB nominal (miles de millones de G.)]]*100</f>
        <v>2.0329018907712646</v>
      </c>
      <c r="BT113" s="56">
        <v>168.07183158500001</v>
      </c>
      <c r="BU113" s="56">
        <f>SUMIFS($BT$3:$BT113,$D$3:$D113,D113)</f>
        <v>253.67461568700003</v>
      </c>
      <c r="BV113" s="56">
        <f t="shared" si="98"/>
        <v>2428.2281146049995</v>
      </c>
      <c r="BW113" s="100">
        <f t="shared" si="112"/>
        <v>0.10662844911216673</v>
      </c>
      <c r="BX113" s="100">
        <f t="shared" si="113"/>
        <v>-9.207675242150426E-2</v>
      </c>
      <c r="BY113" s="100">
        <f t="shared" si="120"/>
        <v>7.1846801108153002E-2</v>
      </c>
      <c r="BZ113" s="56">
        <f t="shared" si="79"/>
        <v>24.17213438157528</v>
      </c>
      <c r="CA113" s="56">
        <f>Datos1[[#This Row],[Adquisición Neta de Activos no Financieros]]/Datos1[[#This Row],[PIB nominal (miles de millones de G.)]]*100</f>
        <v>0.11412066751154387</v>
      </c>
      <c r="CB113" s="56">
        <f>+Datos1[[#This Row],[ANANF acumulado por año]]/Datos1[[#This Row],[PIB nominal (miles de millones de G.)]]*100</f>
        <v>0.17224490386001406</v>
      </c>
      <c r="CC113" s="56">
        <f>+Datos1[[#This Row],[ANANF acumulado 12 meses]]/Datos1[[#This Row],[PIB nominal (miles de millones de G.)]]*100</f>
        <v>1.6487653564296114</v>
      </c>
      <c r="CD113" s="4">
        <v>81.77041534300001</v>
      </c>
      <c r="CE113" s="4">
        <f t="shared" si="80"/>
        <v>11.760242328938984</v>
      </c>
      <c r="CF113" s="4">
        <f t="shared" si="81"/>
        <v>86.301416242000002</v>
      </c>
      <c r="CG113" s="4">
        <f t="shared" si="82"/>
        <v>12.411892052636295</v>
      </c>
      <c r="CH113" s="56">
        <f t="shared" si="83"/>
        <v>-190.28634342300015</v>
      </c>
      <c r="CI113" s="56">
        <f>SUMIFS($CH$3:$CH113,$D$3:$D113,D113)</f>
        <v>336.91355044500006</v>
      </c>
      <c r="CJ113" s="56">
        <f t="shared" si="129"/>
        <v>565.73916288199916</v>
      </c>
      <c r="CK113" s="56">
        <f>Datos1[[#This Row],[Resultado Fiscal (miles de millones de G.)]]*1000/$F$207</f>
        <v>-27.367031231959562</v>
      </c>
      <c r="CL113" s="56">
        <f t="shared" si="99"/>
        <v>81.36475304124707</v>
      </c>
      <c r="CM113" s="100">
        <f t="shared" si="114"/>
        <v>8.590981401546145</v>
      </c>
      <c r="CN113" s="100">
        <f t="shared" si="115"/>
        <v>-0.59173065002716729</v>
      </c>
      <c r="CO113" s="100">
        <f t="shared" si="121"/>
        <v>-0.63830658305797916</v>
      </c>
      <c r="CP113" s="4">
        <f t="shared" si="84"/>
        <v>-0.12920430702143734</v>
      </c>
      <c r="CQ113" s="4">
        <f t="shared" si="130"/>
        <v>0.38413653434165246</v>
      </c>
      <c r="CR113" s="73">
        <v>918.90679641600002</v>
      </c>
      <c r="CS113" s="113">
        <f>SUM(Datos1[[#This Row],[FFPP]:[MTESS]])</f>
        <v>0</v>
      </c>
      <c r="CT113" s="113"/>
      <c r="CU113" s="113"/>
      <c r="CV113" s="113"/>
      <c r="CW113" s="113"/>
      <c r="CX113" s="113"/>
      <c r="CY113" s="113"/>
      <c r="CZ113" s="113"/>
    </row>
    <row r="114" spans="1:104">
      <c r="A114">
        <v>112</v>
      </c>
      <c r="B114" s="3">
        <v>41000</v>
      </c>
      <c r="C114" s="14" t="str">
        <f t="shared" si="66"/>
        <v>Abril</v>
      </c>
      <c r="D114" s="14">
        <f t="shared" si="85"/>
        <v>2012</v>
      </c>
      <c r="E114" s="15">
        <f t="shared" si="67"/>
        <v>147275.54197665266</v>
      </c>
      <c r="F114" s="15">
        <f t="shared" si="125"/>
        <v>4422.0911214209764</v>
      </c>
      <c r="G114" s="56">
        <v>1709.0081072089999</v>
      </c>
      <c r="H114" s="4">
        <f t="shared" si="86"/>
        <v>1.1604154255836492</v>
      </c>
      <c r="I114" s="4">
        <f>SUMIFS($G$3:$G114,$D$3:$D114,D114)</f>
        <v>6248.7422426429994</v>
      </c>
      <c r="J114" s="2">
        <f t="shared" si="93"/>
        <v>19598.442815498998</v>
      </c>
      <c r="K114" s="95">
        <f t="shared" si="100"/>
        <v>0.11196788399170909</v>
      </c>
      <c r="L114" s="95">
        <f t="shared" si="101"/>
        <v>0.11413778981428124</v>
      </c>
      <c r="M114" s="95">
        <f t="shared" si="116"/>
        <v>0.13298551765377598</v>
      </c>
      <c r="N114" s="4">
        <v>1244.2991604969998</v>
      </c>
      <c r="O114" s="4">
        <f t="shared" si="69"/>
        <v>0.84487834422246189</v>
      </c>
      <c r="P114" s="4">
        <f>SUMIFS($N$3:$N114,$D$3:$D114,D114)</f>
        <v>4073.4362741169998</v>
      </c>
      <c r="Q114" s="4">
        <f t="shared" si="127"/>
        <v>13375.446040833</v>
      </c>
      <c r="R114" s="97">
        <f t="shared" si="102"/>
        <v>7.7434037823144619E-2</v>
      </c>
      <c r="S114" s="97">
        <f t="shared" si="103"/>
        <v>4.2139827292099863E-2</v>
      </c>
      <c r="T114" s="97">
        <f t="shared" si="117"/>
        <v>0.10933282732413718</v>
      </c>
      <c r="U114" s="4">
        <v>718.79888735765826</v>
      </c>
      <c r="V114" s="4">
        <f t="shared" si="94"/>
        <v>6500.0708072166344</v>
      </c>
      <c r="W114" s="97">
        <f t="shared" si="122"/>
        <v>0.17199740406615804</v>
      </c>
      <c r="X114" s="97">
        <f t="shared" si="104"/>
        <v>8.4515315522712742E-2</v>
      </c>
      <c r="Y114" s="4">
        <v>520.04242226899999</v>
      </c>
      <c r="Z114" s="4">
        <f t="shared" si="95"/>
        <v>6825.5393883409997</v>
      </c>
      <c r="AA114" s="97">
        <f t="shared" si="123"/>
        <v>5.4359890380505593E-2</v>
      </c>
      <c r="AB114" s="97">
        <f t="shared" si="105"/>
        <v>2.889258833557995E-2</v>
      </c>
      <c r="AC114" s="4">
        <v>145.48672947</v>
      </c>
      <c r="AD114" s="4">
        <f t="shared" si="70"/>
        <v>9.8785397437589309E-2</v>
      </c>
      <c r="AE114" s="4">
        <v>58.202427457999995</v>
      </c>
      <c r="AF114" s="4">
        <f t="shared" si="71"/>
        <v>3.9519411490080772E-2</v>
      </c>
      <c r="AG114" s="4">
        <v>261.01978978400001</v>
      </c>
      <c r="AH114" s="4">
        <f t="shared" si="72"/>
        <v>59.026325468418889</v>
      </c>
      <c r="AI114" s="4">
        <v>185.42805576900003</v>
      </c>
      <c r="AJ114" s="4">
        <f t="shared" si="73"/>
        <v>26.668311042327741</v>
      </c>
      <c r="AK114" s="101">
        <f>SUMIFS($AJ$3:$AJ114,$D$3:$D114,D114)</f>
        <v>101.09434712644723</v>
      </c>
      <c r="AL114" s="4">
        <v>53.887500000000003</v>
      </c>
      <c r="AM114" s="4">
        <f t="shared" si="74"/>
        <v>7.7501142172558408</v>
      </c>
      <c r="AN114" s="101">
        <f>SUMIFS($AM$3:$AM114,$D$3:$D114,D114)</f>
        <v>25.57562860656865</v>
      </c>
      <c r="AO114" s="4">
        <f t="shared" si="87"/>
        <v>21.704234014999983</v>
      </c>
      <c r="AP114" s="56">
        <v>1593.9241333960001</v>
      </c>
      <c r="AQ114" s="4">
        <f t="shared" si="75"/>
        <v>1.0822734800383096</v>
      </c>
      <c r="AR114" s="4">
        <f>SUMIFS($AP$3:$AP114,$D$3:$D114,D114)</f>
        <v>5543.0701026980005</v>
      </c>
      <c r="AS114" s="4">
        <f t="shared" si="96"/>
        <v>16830.874998984003</v>
      </c>
      <c r="AT114" s="97">
        <f t="shared" si="106"/>
        <v>0.33668518727592556</v>
      </c>
      <c r="AU114" s="97">
        <f t="shared" si="107"/>
        <v>0.32818196500745334</v>
      </c>
      <c r="AV114" s="98">
        <f t="shared" si="118"/>
        <v>0.2512660188168987</v>
      </c>
      <c r="AW114" s="4">
        <v>767.78711854100004</v>
      </c>
      <c r="AX114" s="4">
        <f>SUMIFS($AW$3:$AW114,$D$3:$D114,D114)</f>
        <v>3054.8910555109996</v>
      </c>
      <c r="AY114" s="4">
        <f t="shared" si="97"/>
        <v>8646.8308519839993</v>
      </c>
      <c r="AZ114" s="97">
        <f t="shared" si="108"/>
        <v>0.29714878630095676</v>
      </c>
      <c r="BA114" s="97">
        <f t="shared" si="109"/>
        <v>0.31473193667070687</v>
      </c>
      <c r="BB114" s="97">
        <f t="shared" si="124"/>
        <v>0.21130132387406131</v>
      </c>
      <c r="BC114" s="4">
        <v>520.19998034299999</v>
      </c>
      <c r="BD114" s="4">
        <f t="shared" si="88"/>
        <v>247.58713819800005</v>
      </c>
      <c r="BE114" s="4">
        <v>162.93831556500001</v>
      </c>
      <c r="BF114" s="4">
        <v>15.785979966000001</v>
      </c>
      <c r="BG114" s="4">
        <f t="shared" si="76"/>
        <v>2.2703437303235905</v>
      </c>
      <c r="BH114" s="4">
        <f>Datos1[[#This Row],[Intereses]]/Datos1[[#This Row],[PIB nominal (miles de millones de G.)]]*100</f>
        <v>1.0718670428320356E-2</v>
      </c>
      <c r="BI114" s="4">
        <v>380.17971112099997</v>
      </c>
      <c r="BJ114" s="4">
        <v>179.93041316600002</v>
      </c>
      <c r="BK114" s="4">
        <v>87.302595037000003</v>
      </c>
      <c r="BL114" s="56">
        <f t="shared" si="126"/>
        <v>115.08397381299983</v>
      </c>
      <c r="BM114" s="56">
        <f>SUMIFS($BL$3:$BL114,$D$3:$D114,D114)</f>
        <v>705.67213994499991</v>
      </c>
      <c r="BN114" s="56">
        <f t="shared" si="128"/>
        <v>2767.5678165149993</v>
      </c>
      <c r="BO114" s="100">
        <f t="shared" si="110"/>
        <v>-0.66298812156010589</v>
      </c>
      <c r="BP114" s="100">
        <f t="shared" si="111"/>
        <v>-0.51201978582694363</v>
      </c>
      <c r="BQ114" s="100">
        <f t="shared" si="119"/>
        <v>-0.28058611607804618</v>
      </c>
      <c r="BR114" s="2">
        <f t="shared" si="78"/>
        <v>7.8141945545339694E-2</v>
      </c>
      <c r="BS114" s="2">
        <f>+Datos1[[#This Row],[RON acumulado 12 meses]]/Datos1[[#This Row],[PIB nominal (miles de millones de G.)]]*100</f>
        <v>1.8791767997389119</v>
      </c>
      <c r="BT114" s="56">
        <v>193.54750977899999</v>
      </c>
      <c r="BU114" s="56">
        <f>SUMIFS($BT$3:$BT114,$D$3:$D114,D114)</f>
        <v>447.22212546600002</v>
      </c>
      <c r="BV114" s="56">
        <f t="shared" si="98"/>
        <v>2508.9709053669994</v>
      </c>
      <c r="BW114" s="100">
        <f t="shared" si="112"/>
        <v>0.71577493801329206</v>
      </c>
      <c r="BX114" s="100">
        <f t="shared" si="113"/>
        <v>0.140274513030062</v>
      </c>
      <c r="BY114" s="100">
        <f t="shared" si="120"/>
        <v>0.11553088195598371</v>
      </c>
      <c r="BZ114" s="56">
        <f t="shared" si="79"/>
        <v>27.83605302255053</v>
      </c>
      <c r="CA114" s="56">
        <f>Datos1[[#This Row],[Adquisición Neta de Activos no Financieros]]/Datos1[[#This Row],[PIB nominal (miles de millones de G.)]]*100</f>
        <v>0.13141863691778691</v>
      </c>
      <c r="CB114" s="56">
        <f>+Datos1[[#This Row],[ANANF acumulado por año]]/Datos1[[#This Row],[PIB nominal (miles de millones de G.)]]*100</f>
        <v>0.30366354077780094</v>
      </c>
      <c r="CC114" s="56">
        <f>+Datos1[[#This Row],[ANANF acumulado 12 meses]]/Datos1[[#This Row],[PIB nominal (miles de millones de G.)]]*100</f>
        <v>1.7035896603692295</v>
      </c>
      <c r="CD114" s="4">
        <v>103.06396914000001</v>
      </c>
      <c r="CE114" s="4">
        <f t="shared" si="80"/>
        <v>14.82268675516087</v>
      </c>
      <c r="CF114" s="4">
        <f t="shared" si="81"/>
        <v>90.483540638999983</v>
      </c>
      <c r="CG114" s="4">
        <f t="shared" si="82"/>
        <v>13.013366267389662</v>
      </c>
      <c r="CH114" s="56">
        <f t="shared" si="83"/>
        <v>-78.463535966000165</v>
      </c>
      <c r="CI114" s="56">
        <f>SUMIFS($CH$3:$CH114,$D$3:$D114,D114)</f>
        <v>258.45001447899989</v>
      </c>
      <c r="CJ114" s="56">
        <f t="shared" si="129"/>
        <v>258.59691114799938</v>
      </c>
      <c r="CK114" s="56">
        <f>Datos1[[#This Row],[Resultado Fiscal (miles de millones de G.)]]*1000/$F$207</f>
        <v>-11.284646079819307</v>
      </c>
      <c r="CL114" s="56">
        <f t="shared" si="99"/>
        <v>37.191474787781146</v>
      </c>
      <c r="CM114" s="100">
        <f t="shared" si="114"/>
        <v>-1.3431169171231634</v>
      </c>
      <c r="CN114" s="100">
        <f t="shared" si="115"/>
        <v>-0.75476855685179234</v>
      </c>
      <c r="CO114" s="100">
        <f t="shared" si="121"/>
        <v>-0.83815931248386732</v>
      </c>
      <c r="CP114" s="4">
        <f t="shared" si="84"/>
        <v>-5.3276691372447199E-2</v>
      </c>
      <c r="CQ114" s="4">
        <f t="shared" si="130"/>
        <v>0.17558713936968184</v>
      </c>
      <c r="CR114" s="73">
        <v>854.27383378499997</v>
      </c>
      <c r="CS114" s="113">
        <f>SUM(Datos1[[#This Row],[FFPP]:[MTESS]])</f>
        <v>0</v>
      </c>
      <c r="CT114" s="113"/>
      <c r="CU114" s="113"/>
      <c r="CV114" s="113"/>
      <c r="CW114" s="113"/>
      <c r="CX114" s="113"/>
      <c r="CY114" s="113"/>
      <c r="CZ114" s="113"/>
    </row>
    <row r="115" spans="1:104">
      <c r="A115">
        <v>113</v>
      </c>
      <c r="B115" s="3">
        <v>41030</v>
      </c>
      <c r="C115" s="14" t="str">
        <f t="shared" si="66"/>
        <v>Mayo</v>
      </c>
      <c r="D115" s="14">
        <f t="shared" si="85"/>
        <v>2012</v>
      </c>
      <c r="E115" s="15">
        <f t="shared" si="67"/>
        <v>147275.54197665266</v>
      </c>
      <c r="F115" s="15">
        <f t="shared" si="125"/>
        <v>4422.0911214209764</v>
      </c>
      <c r="G115" s="56">
        <v>2057.4732229590004</v>
      </c>
      <c r="H115" s="4">
        <f t="shared" si="86"/>
        <v>1.3970230191277573</v>
      </c>
      <c r="I115" s="4">
        <f>SUMIFS($G$3:$G115,$D$3:$D115,D115)</f>
        <v>8306.2154656019993</v>
      </c>
      <c r="J115" s="2">
        <f t="shared" si="93"/>
        <v>19922.30858474</v>
      </c>
      <c r="K115" s="95">
        <f t="shared" si="100"/>
        <v>0.12961440926600276</v>
      </c>
      <c r="L115" s="95">
        <f t="shared" si="101"/>
        <v>0.18681609181272174</v>
      </c>
      <c r="M115" s="95">
        <f t="shared" si="116"/>
        <v>0.13874245177809774</v>
      </c>
      <c r="N115" s="4">
        <v>1465.6840463270003</v>
      </c>
      <c r="O115" s="4">
        <f t="shared" si="69"/>
        <v>0.99519854190002077</v>
      </c>
      <c r="P115" s="4">
        <f>SUMIFS($N$3:$N115,$D$3:$D115,D115)</f>
        <v>5539.1203204439998</v>
      </c>
      <c r="Q115" s="4">
        <f t="shared" si="127"/>
        <v>13547.182965937998</v>
      </c>
      <c r="R115" s="97">
        <f t="shared" si="102"/>
        <v>0.13272329470682886</v>
      </c>
      <c r="S115" s="97">
        <f t="shared" si="103"/>
        <v>6.4668683886060174E-2</v>
      </c>
      <c r="T115" s="97">
        <f t="shared" si="117"/>
        <v>0.10651505086584123</v>
      </c>
      <c r="U115" s="4">
        <v>852.77094014865838</v>
      </c>
      <c r="V115" s="4">
        <f t="shared" si="94"/>
        <v>6606.7028205532924</v>
      </c>
      <c r="W115" s="97">
        <f t="shared" si="122"/>
        <v>0.16123772962692184</v>
      </c>
      <c r="X115" s="97">
        <f t="shared" si="104"/>
        <v>0.14291174137269724</v>
      </c>
      <c r="Y115" s="4">
        <v>587.72834404599996</v>
      </c>
      <c r="Z115" s="4">
        <f t="shared" si="95"/>
        <v>6847.6969998319992</v>
      </c>
      <c r="AA115" s="97">
        <f t="shared" si="123"/>
        <v>4.304461255945724E-2</v>
      </c>
      <c r="AB115" s="97">
        <f t="shared" si="105"/>
        <v>3.917743655316408E-2</v>
      </c>
      <c r="AC115" s="4">
        <v>205.37948095100001</v>
      </c>
      <c r="AD115" s="4">
        <f t="shared" si="70"/>
        <v>0.1394525378718745</v>
      </c>
      <c r="AE115" s="4">
        <v>89.546099729000005</v>
      </c>
      <c r="AF115" s="4">
        <f t="shared" si="71"/>
        <v>6.080174516906249E-2</v>
      </c>
      <c r="AG115" s="4">
        <v>296.86359595200008</v>
      </c>
      <c r="AH115" s="4">
        <f t="shared" si="72"/>
        <v>67.131949071326943</v>
      </c>
      <c r="AI115" s="4">
        <v>195.53715674400001</v>
      </c>
      <c r="AJ115" s="4">
        <f t="shared" si="73"/>
        <v>28.122204564759141</v>
      </c>
      <c r="AK115" s="101">
        <f>SUMIFS($AJ$3:$AJ115,$D$3:$D115,D115)</f>
        <v>129.21655169120638</v>
      </c>
      <c r="AL115" s="4">
        <v>0</v>
      </c>
      <c r="AM115" s="4">
        <f t="shared" si="74"/>
        <v>0</v>
      </c>
      <c r="AN115" s="101">
        <f>SUMIFS($AM$3:$AM115,$D$3:$D115,D115)</f>
        <v>25.57562860656865</v>
      </c>
      <c r="AO115" s="4">
        <f t="shared" si="87"/>
        <v>101.32643920800007</v>
      </c>
      <c r="AP115" s="56">
        <v>1593.542871716</v>
      </c>
      <c r="AQ115" s="4">
        <f t="shared" si="75"/>
        <v>1.0820146035983502</v>
      </c>
      <c r="AR115" s="4">
        <f>SUMIFS($AP$3:$AP115,$D$3:$D115,D115)</f>
        <v>7136.6129744140007</v>
      </c>
      <c r="AS115" s="4">
        <f t="shared" si="96"/>
        <v>17258.749040167</v>
      </c>
      <c r="AT115" s="97">
        <f t="shared" si="106"/>
        <v>0.36706312288315623</v>
      </c>
      <c r="AU115" s="97">
        <f t="shared" si="107"/>
        <v>0.33667077240861998</v>
      </c>
      <c r="AV115" s="98">
        <f t="shared" si="118"/>
        <v>0.2586874290892951</v>
      </c>
      <c r="AW115" s="4">
        <v>777.05832546699992</v>
      </c>
      <c r="AX115" s="4">
        <f>SUMIFS($AW$3:$AW115,$D$3:$D115,D115)</f>
        <v>3831.9493809779997</v>
      </c>
      <c r="AY115" s="4">
        <f t="shared" si="97"/>
        <v>8808.8152971829986</v>
      </c>
      <c r="AZ115" s="97">
        <f t="shared" si="108"/>
        <v>0.26335770448977591</v>
      </c>
      <c r="BA115" s="97">
        <f t="shared" si="109"/>
        <v>0.30397908902963144</v>
      </c>
      <c r="BB115" s="97">
        <f t="shared" si="124"/>
        <v>0.2175301449483471</v>
      </c>
      <c r="BC115" s="4">
        <v>522.99279950300001</v>
      </c>
      <c r="BD115" s="4">
        <f t="shared" si="88"/>
        <v>254.0655259639999</v>
      </c>
      <c r="BE115" s="4">
        <v>164.28639027099999</v>
      </c>
      <c r="BF115" s="4">
        <v>14.623210596</v>
      </c>
      <c r="BG115" s="4">
        <f t="shared" si="76"/>
        <v>2.1031139381486588</v>
      </c>
      <c r="BH115" s="4">
        <f>Datos1[[#This Row],[Intereses]]/Datos1[[#This Row],[PIB nominal (miles de millones de G.)]]*100</f>
        <v>9.9291507603605986E-3</v>
      </c>
      <c r="BI115" s="4">
        <v>368.32427171300003</v>
      </c>
      <c r="BJ115" s="4">
        <v>216.67204374100001</v>
      </c>
      <c r="BK115" s="4">
        <v>52.578629928000012</v>
      </c>
      <c r="BL115" s="56">
        <f t="shared" si="126"/>
        <v>463.93035124300036</v>
      </c>
      <c r="BM115" s="56">
        <f>SUMIFS($BL$3:$BL115,$D$3:$D115,D115)</f>
        <v>1169.6024911880004</v>
      </c>
      <c r="BN115" s="56">
        <f t="shared" si="128"/>
        <v>2663.5595445730005</v>
      </c>
      <c r="BO115" s="100">
        <f t="shared" si="110"/>
        <v>-0.18313294376550893</v>
      </c>
      <c r="BP115" s="100">
        <f t="shared" si="111"/>
        <v>-0.41927737911323759</v>
      </c>
      <c r="BQ115" s="100">
        <f t="shared" si="119"/>
        <v>-0.29597009963225418</v>
      </c>
      <c r="BR115" s="2">
        <f t="shared" si="78"/>
        <v>0.31500841552940706</v>
      </c>
      <c r="BS115" s="2">
        <f>+Datos1[[#This Row],[RON acumulado 12 meses]]/Datos1[[#This Row],[PIB nominal (miles de millones de G.)]]*100</f>
        <v>1.8085552487698535</v>
      </c>
      <c r="BT115" s="56">
        <v>161.72192180099998</v>
      </c>
      <c r="BU115" s="56">
        <f>SUMIFS($BT$3:$BT115,$D$3:$D115,D115)</f>
        <v>608.94404726699997</v>
      </c>
      <c r="BV115" s="56">
        <f t="shared" si="98"/>
        <v>2449.6659670899999</v>
      </c>
      <c r="BW115" s="100">
        <f t="shared" si="112"/>
        <v>-0.26831552624903321</v>
      </c>
      <c r="BX115" s="100">
        <f t="shared" si="113"/>
        <v>-6.9932353611089626E-3</v>
      </c>
      <c r="BY115" s="100">
        <f t="shared" si="120"/>
        <v>5.1137236480913506E-2</v>
      </c>
      <c r="BZ115" s="56">
        <f t="shared" si="79"/>
        <v>23.258888710589048</v>
      </c>
      <c r="CA115" s="56">
        <f>Datos1[[#This Row],[Adquisición Neta de Activos no Financieros]]/Datos1[[#This Row],[PIB nominal (miles de millones de G.)]]*100</f>
        <v>0.10980908277807423</v>
      </c>
      <c r="CB115" s="56">
        <f>+Datos1[[#This Row],[ANANF acumulado por año]]/Datos1[[#This Row],[PIB nominal (miles de millones de G.)]]*100</f>
        <v>0.41347262355587511</v>
      </c>
      <c r="CC115" s="56">
        <f>+Datos1[[#This Row],[ANANF acumulado 12 meses]]/Datos1[[#This Row],[PIB nominal (miles de millones de G.)]]*100</f>
        <v>1.663321644729266</v>
      </c>
      <c r="CD115" s="4">
        <v>70.807023768000008</v>
      </c>
      <c r="CE115" s="4">
        <f t="shared" si="80"/>
        <v>10.183484510989546</v>
      </c>
      <c r="CF115" s="4">
        <f t="shared" si="81"/>
        <v>90.914898032999972</v>
      </c>
      <c r="CG115" s="4">
        <f t="shared" si="82"/>
        <v>13.075404199599502</v>
      </c>
      <c r="CH115" s="56">
        <f t="shared" si="83"/>
        <v>302.20842944200035</v>
      </c>
      <c r="CI115" s="56">
        <f>SUMIFS($CH$3:$CH115,$D$3:$D115,D115)</f>
        <v>560.6584439210003</v>
      </c>
      <c r="CJ115" s="56">
        <f t="shared" si="129"/>
        <v>213.89357748300037</v>
      </c>
      <c r="CK115" s="56">
        <f>Datos1[[#This Row],[Resultado Fiscal (miles de millones de G.)]]*1000/$F$207</f>
        <v>43.463694652618983</v>
      </c>
      <c r="CL115" s="56">
        <f t="shared" si="99"/>
        <v>30.762229753295578</v>
      </c>
      <c r="CM115" s="100">
        <f t="shared" si="114"/>
        <v>-0.12886081828021223</v>
      </c>
      <c r="CN115" s="100">
        <f t="shared" si="115"/>
        <v>-0.59976244840520221</v>
      </c>
      <c r="CO115" s="100">
        <f t="shared" si="121"/>
        <v>-0.85277285777092349</v>
      </c>
      <c r="CP115" s="4">
        <f t="shared" si="84"/>
        <v>0.20519933275133284</v>
      </c>
      <c r="CQ115" s="4">
        <f t="shared" si="130"/>
        <v>0.14523360404058711</v>
      </c>
      <c r="CR115" s="73">
        <v>866.291685605</v>
      </c>
      <c r="CS115" s="113">
        <f>SUM(Datos1[[#This Row],[FFPP]:[MTESS]])</f>
        <v>0</v>
      </c>
      <c r="CT115" s="113"/>
      <c r="CU115" s="113"/>
      <c r="CV115" s="113"/>
      <c r="CW115" s="113"/>
      <c r="CX115" s="113"/>
      <c r="CY115" s="113"/>
      <c r="CZ115" s="113"/>
    </row>
    <row r="116" spans="1:104">
      <c r="A116">
        <v>114</v>
      </c>
      <c r="B116" s="3">
        <v>41061</v>
      </c>
      <c r="C116" s="14" t="str">
        <f t="shared" si="66"/>
        <v>Junio</v>
      </c>
      <c r="D116" s="14">
        <f t="shared" si="85"/>
        <v>2012</v>
      </c>
      <c r="E116" s="15">
        <f t="shared" si="67"/>
        <v>147275.54197665266</v>
      </c>
      <c r="F116" s="15">
        <f t="shared" si="125"/>
        <v>4422.0911214209764</v>
      </c>
      <c r="G116" s="56">
        <v>1527.7991969509999</v>
      </c>
      <c r="H116" s="4">
        <f t="shared" si="86"/>
        <v>1.0373746899489933</v>
      </c>
      <c r="I116" s="4">
        <f>SUMIFS($G$3:$G116,$D$3:$D116,D116)</f>
        <v>9834.0146625529997</v>
      </c>
      <c r="J116" s="2">
        <f t="shared" si="93"/>
        <v>20045.601442882999</v>
      </c>
      <c r="K116" s="95">
        <f t="shared" si="100"/>
        <v>0.1229058275596131</v>
      </c>
      <c r="L116" s="95">
        <f t="shared" si="101"/>
        <v>8.7783767674297408E-2</v>
      </c>
      <c r="M116" s="95">
        <f t="shared" si="116"/>
        <v>0.14214741946745368</v>
      </c>
      <c r="N116" s="4">
        <v>987.14926516100013</v>
      </c>
      <c r="O116" s="4">
        <f t="shared" si="69"/>
        <v>0.67027372767536053</v>
      </c>
      <c r="P116" s="4">
        <f>SUMIFS($N$3:$N116,$D$3:$D116,D116)</f>
        <v>6526.2695856049995</v>
      </c>
      <c r="Q116" s="4">
        <f t="shared" si="127"/>
        <v>13480.516404174001</v>
      </c>
      <c r="R116" s="97">
        <f t="shared" si="102"/>
        <v>-6.3262061605708353E-2</v>
      </c>
      <c r="S116" s="97">
        <f t="shared" si="103"/>
        <v>4.3120575573724285E-2</v>
      </c>
      <c r="T116" s="97">
        <f t="shared" si="117"/>
        <v>9.2601762886697969E-2</v>
      </c>
      <c r="U116" s="4">
        <v>487.52745827365834</v>
      </c>
      <c r="V116" s="4">
        <f t="shared" si="94"/>
        <v>6640.841585214951</v>
      </c>
      <c r="W116" s="97">
        <f t="shared" si="122"/>
        <v>0.16818532183029333</v>
      </c>
      <c r="X116" s="97">
        <f t="shared" si="104"/>
        <v>7.529690339140549E-2</v>
      </c>
      <c r="Y116" s="4">
        <v>517.81231231699996</v>
      </c>
      <c r="Z116" s="4">
        <f t="shared" si="95"/>
        <v>6800.7882613159991</v>
      </c>
      <c r="AA116" s="97">
        <f t="shared" si="123"/>
        <v>2.5329217047368013E-2</v>
      </c>
      <c r="AB116" s="97">
        <f t="shared" si="105"/>
        <v>-8.3065326583463772E-2</v>
      </c>
      <c r="AC116" s="4">
        <v>147.12519809</v>
      </c>
      <c r="AD116" s="4">
        <f t="shared" si="70"/>
        <v>9.9897916595902594E-2</v>
      </c>
      <c r="AE116" s="4">
        <v>78.581794855000012</v>
      </c>
      <c r="AF116" s="4">
        <f t="shared" si="71"/>
        <v>5.3356989083399503E-2</v>
      </c>
      <c r="AG116" s="4">
        <v>314.94293884499996</v>
      </c>
      <c r="AH116" s="4">
        <f t="shared" si="72"/>
        <v>71.220363895124237</v>
      </c>
      <c r="AI116" s="4">
        <v>202.21095507699999</v>
      </c>
      <c r="AJ116" s="4">
        <f t="shared" si="73"/>
        <v>29.08203197081215</v>
      </c>
      <c r="AK116" s="101">
        <f>SUMIFS($AJ$3:$AJ116,$D$3:$D116,D116)</f>
        <v>158.29858366201853</v>
      </c>
      <c r="AL116" s="4">
        <v>11.202500000000001</v>
      </c>
      <c r="AM116" s="4">
        <f t="shared" si="74"/>
        <v>1.6111464536081384</v>
      </c>
      <c r="AN116" s="101">
        <f>SUMIFS($AM$3:$AM116,$D$3:$D116,D116)</f>
        <v>27.186775060176789</v>
      </c>
      <c r="AO116" s="4">
        <f t="shared" si="87"/>
        <v>101.52948376799996</v>
      </c>
      <c r="AP116" s="56">
        <v>1469.733598214</v>
      </c>
      <c r="AQ116" s="4">
        <f t="shared" si="75"/>
        <v>0.99794818507406635</v>
      </c>
      <c r="AR116" s="4">
        <f>SUMIFS($AP$3:$AP116,$D$3:$D116,D116)</f>
        <v>8606.346572628001</v>
      </c>
      <c r="AS116" s="4">
        <f t="shared" si="96"/>
        <v>17530.941073843002</v>
      </c>
      <c r="AT116" s="97">
        <f t="shared" si="106"/>
        <v>0.22729234770319562</v>
      </c>
      <c r="AU116" s="97">
        <f t="shared" si="107"/>
        <v>0.31663214894998459</v>
      </c>
      <c r="AV116" s="98">
        <f t="shared" si="118"/>
        <v>0.27265588861465218</v>
      </c>
      <c r="AW116" s="4">
        <v>779.92461174499999</v>
      </c>
      <c r="AX116" s="4">
        <f>SUMIFS($AW$3:$AW116,$D$3:$D116,D116)</f>
        <v>4611.8739927229999</v>
      </c>
      <c r="AY116" s="4">
        <f t="shared" si="97"/>
        <v>8968.0452847889992</v>
      </c>
      <c r="AZ116" s="97">
        <f t="shared" si="108"/>
        <v>0.25653514854728576</v>
      </c>
      <c r="BA116" s="97">
        <f t="shared" si="109"/>
        <v>0.29570561999059986</v>
      </c>
      <c r="BB116" s="97">
        <f t="shared" si="124"/>
        <v>0.2231895119121392</v>
      </c>
      <c r="BC116" s="4">
        <v>521.56869299699997</v>
      </c>
      <c r="BD116" s="4">
        <f t="shared" si="88"/>
        <v>258.35591874800002</v>
      </c>
      <c r="BE116" s="4">
        <v>173.23890385000001</v>
      </c>
      <c r="BF116" s="4">
        <v>11.153270747999999</v>
      </c>
      <c r="BG116" s="4">
        <f t="shared" si="76"/>
        <v>1.604066289825627</v>
      </c>
      <c r="BH116" s="4">
        <f>Datos1[[#This Row],[Intereses]]/Datos1[[#This Row],[PIB nominal (miles de millones de G.)]]*100</f>
        <v>7.5730637947800643E-3</v>
      </c>
      <c r="BI116" s="4">
        <v>282.17937914800001</v>
      </c>
      <c r="BJ116" s="4">
        <v>174.886075742</v>
      </c>
      <c r="BK116" s="4">
        <v>48.351356980999995</v>
      </c>
      <c r="BL116" s="56">
        <f t="shared" si="126"/>
        <v>58.065598736999846</v>
      </c>
      <c r="BM116" s="56">
        <f>SUMIFS($BL$3:$BL116,$D$3:$D116,D116)</f>
        <v>1227.6680899250002</v>
      </c>
      <c r="BN116" s="56">
        <f t="shared" si="128"/>
        <v>2514.6603690399998</v>
      </c>
      <c r="BO116" s="100">
        <f t="shared" si="110"/>
        <v>-0.71944211790722812</v>
      </c>
      <c r="BP116" s="100">
        <f t="shared" si="111"/>
        <v>-0.44724820569518964</v>
      </c>
      <c r="BQ116" s="100">
        <f t="shared" si="119"/>
        <v>-0.33399129964692631</v>
      </c>
      <c r="BR116" s="2">
        <f t="shared" si="78"/>
        <v>3.9426504874926813E-2</v>
      </c>
      <c r="BS116" s="2">
        <f>+Datos1[[#This Row],[RON acumulado 12 meses]]/Datos1[[#This Row],[PIB nominal (miles de millones de G.)]]*100</f>
        <v>1.7074528026103917</v>
      </c>
      <c r="BT116" s="56">
        <v>143.86700422900003</v>
      </c>
      <c r="BU116" s="56">
        <f>SUMIFS($BT$3:$BT116,$D$3:$D116,D116)</f>
        <v>752.811051496</v>
      </c>
      <c r="BV116" s="56">
        <f t="shared" si="98"/>
        <v>2488.8950726469998</v>
      </c>
      <c r="BW116" s="100">
        <f t="shared" si="112"/>
        <v>0.37490341506157665</v>
      </c>
      <c r="BX116" s="100">
        <f t="shared" si="113"/>
        <v>4.8672608501717951E-2</v>
      </c>
      <c r="BY116" s="100">
        <f t="shared" si="120"/>
        <v>8.7672209036182336E-2</v>
      </c>
      <c r="BZ116" s="56">
        <f t="shared" si="79"/>
        <v>20.690989837516668</v>
      </c>
      <c r="CA116" s="56">
        <f>Datos1[[#This Row],[Adquisición Neta de Activos no Financieros]]/Datos1[[#This Row],[PIB nominal (miles de millones de G.)]]*100</f>
        <v>9.7685605021780891E-2</v>
      </c>
      <c r="CB116" s="56">
        <f>+Datos1[[#This Row],[ANANF acumulado por año]]/Datos1[[#This Row],[PIB nominal (miles de millones de G.)]]*100</f>
        <v>0.51115822857765603</v>
      </c>
      <c r="CC116" s="56">
        <f>+Datos1[[#This Row],[ANANF acumulado 12 meses]]/Datos1[[#This Row],[PIB nominal (miles de millones de G.)]]*100</f>
        <v>1.6899581826299168</v>
      </c>
      <c r="CD116" s="4">
        <v>79.010564409999972</v>
      </c>
      <c r="CE116" s="4">
        <f t="shared" si="80"/>
        <v>11.363319852421233</v>
      </c>
      <c r="CF116" s="4">
        <f t="shared" si="81"/>
        <v>64.856439819000059</v>
      </c>
      <c r="CG116" s="4">
        <f t="shared" si="82"/>
        <v>9.327669985095433</v>
      </c>
      <c r="CH116" s="56">
        <f t="shared" si="83"/>
        <v>-85.801405492000185</v>
      </c>
      <c r="CI116" s="56">
        <f>SUMIFS($CH$3:$CH116,$D$3:$D116,D116)</f>
        <v>474.85703842900011</v>
      </c>
      <c r="CJ116" s="56">
        <f t="shared" si="129"/>
        <v>25.765296392999915</v>
      </c>
      <c r="CK116" s="56">
        <f>Datos1[[#This Row],[Resultado Fiscal (miles de millones de G.)]]*1000/$F$207</f>
        <v>-12.339980376972099</v>
      </c>
      <c r="CL116" s="56">
        <f t="shared" si="99"/>
        <v>3.7055716054224082</v>
      </c>
      <c r="CM116" s="100">
        <f t="shared" si="114"/>
        <v>-1.8385031301950265</v>
      </c>
      <c r="CN116" s="100">
        <f t="shared" si="115"/>
        <v>-0.68409017124184068</v>
      </c>
      <c r="CO116" s="100">
        <f t="shared" si="121"/>
        <v>-0.9826780960177095</v>
      </c>
      <c r="CP116" s="4">
        <f t="shared" si="84"/>
        <v>-5.8259100146854072E-2</v>
      </c>
      <c r="CQ116" s="4">
        <f t="shared" si="130"/>
        <v>1.7494619980474722E-2</v>
      </c>
      <c r="CR116" s="73">
        <v>861.75212201500005</v>
      </c>
      <c r="CS116" s="113">
        <f>SUM(Datos1[[#This Row],[FFPP]:[MTESS]])</f>
        <v>0</v>
      </c>
      <c r="CT116" s="113"/>
      <c r="CU116" s="113"/>
      <c r="CV116" s="113"/>
      <c r="CW116" s="113"/>
      <c r="CX116" s="113"/>
      <c r="CY116" s="113"/>
      <c r="CZ116" s="113"/>
    </row>
    <row r="117" spans="1:104">
      <c r="A117">
        <v>115</v>
      </c>
      <c r="B117" s="3">
        <v>41091</v>
      </c>
      <c r="C117" s="14" t="str">
        <f t="shared" si="66"/>
        <v>Julio</v>
      </c>
      <c r="D117" s="14">
        <f t="shared" si="85"/>
        <v>2012</v>
      </c>
      <c r="E117" s="15">
        <f t="shared" si="67"/>
        <v>147275.54197665266</v>
      </c>
      <c r="F117" s="15">
        <f t="shared" si="125"/>
        <v>4422.0911214209764</v>
      </c>
      <c r="G117" s="56">
        <v>1961.0089379989997</v>
      </c>
      <c r="H117" s="4">
        <f t="shared" si="86"/>
        <v>1.3315238305555686</v>
      </c>
      <c r="I117" s="4">
        <f>SUMIFS($G$3:$G117,$D$3:$D117,D117)</f>
        <v>11795.023600552</v>
      </c>
      <c r="J117" s="2">
        <f t="shared" si="93"/>
        <v>20252.116032153997</v>
      </c>
      <c r="K117" s="95">
        <f t="shared" si="100"/>
        <v>0.12203797495887914</v>
      </c>
      <c r="L117" s="95">
        <f t="shared" si="101"/>
        <v>0.11770604414925678</v>
      </c>
      <c r="M117" s="95">
        <f t="shared" si="116"/>
        <v>0.12665837180566841</v>
      </c>
      <c r="N117" s="4">
        <v>1465.6551326559998</v>
      </c>
      <c r="O117" s="4">
        <f t="shared" si="69"/>
        <v>0.9951789095356699</v>
      </c>
      <c r="P117" s="4">
        <f>SUMIFS($N$3:$N117,$D$3:$D117,D117)</f>
        <v>7991.9247182609997</v>
      </c>
      <c r="Q117" s="4">
        <f t="shared" si="127"/>
        <v>13688.447286288998</v>
      </c>
      <c r="R117" s="97">
        <f t="shared" si="102"/>
        <v>0.16532310800683048</v>
      </c>
      <c r="S117" s="97">
        <f t="shared" si="103"/>
        <v>6.3574765348873852E-2</v>
      </c>
      <c r="T117" s="97">
        <f t="shared" si="117"/>
        <v>8.7477014930690711E-2</v>
      </c>
      <c r="U117" s="4">
        <v>860.38827620265829</v>
      </c>
      <c r="V117" s="4">
        <f t="shared" si="94"/>
        <v>6720.6516566336086</v>
      </c>
      <c r="W117" s="97">
        <f t="shared" si="122"/>
        <v>0.13384661551444266</v>
      </c>
      <c r="X117" s="97">
        <f t="shared" si="104"/>
        <v>0.10224481151218301</v>
      </c>
      <c r="Y117" s="4">
        <v>597.59333374999994</v>
      </c>
      <c r="Z117" s="4">
        <f t="shared" si="95"/>
        <v>6899.1764019799994</v>
      </c>
      <c r="AA117" s="97">
        <f t="shared" si="123"/>
        <v>3.9165419590725614E-2</v>
      </c>
      <c r="AB117" s="97">
        <f t="shared" si="105"/>
        <v>0.19708957764598045</v>
      </c>
      <c r="AC117" s="4">
        <v>115.271884039</v>
      </c>
      <c r="AD117" s="4">
        <f t="shared" si="70"/>
        <v>7.8269536470131518E-2</v>
      </c>
      <c r="AE117" s="4">
        <v>83.898626089000004</v>
      </c>
      <c r="AF117" s="4">
        <f t="shared" si="71"/>
        <v>5.6967114133791685E-2</v>
      </c>
      <c r="AG117" s="4">
        <v>296.18329521500004</v>
      </c>
      <c r="AH117" s="4">
        <f t="shared" si="72"/>
        <v>66.978107660482976</v>
      </c>
      <c r="AI117" s="4">
        <v>205.87212564800001</v>
      </c>
      <c r="AJ117" s="4">
        <f t="shared" si="73"/>
        <v>29.608582471282684</v>
      </c>
      <c r="AK117" s="101">
        <f>SUMIFS($AJ$3:$AJ117,$D$3:$D117,D117)</f>
        <v>187.90716613330122</v>
      </c>
      <c r="AL117" s="4">
        <v>22.54</v>
      </c>
      <c r="AM117" s="4">
        <f t="shared" si="74"/>
        <v>3.2417086422073145</v>
      </c>
      <c r="AN117" s="101">
        <f>SUMIFS($AM$3:$AM117,$D$3:$D117,D117)</f>
        <v>30.428483702384103</v>
      </c>
      <c r="AO117" s="4">
        <f t="shared" si="87"/>
        <v>67.771169567000044</v>
      </c>
      <c r="AP117" s="56">
        <v>1595.1021806619999</v>
      </c>
      <c r="AQ117" s="4">
        <f t="shared" si="75"/>
        <v>1.0830733733880054</v>
      </c>
      <c r="AR117" s="4">
        <f>SUMIFS($AP$3:$AP117,$D$3:$D117,D117)</f>
        <v>10201.44875329</v>
      </c>
      <c r="AS117" s="4">
        <f t="shared" si="96"/>
        <v>17979.858200357001</v>
      </c>
      <c r="AT117" s="97">
        <f t="shared" si="106"/>
        <v>0.39166199636732846</v>
      </c>
      <c r="AU117" s="97">
        <f t="shared" si="107"/>
        <v>0.32782570358692653</v>
      </c>
      <c r="AV117" s="98">
        <f t="shared" si="118"/>
        <v>0.28671773889319963</v>
      </c>
      <c r="AW117" s="4">
        <v>807.07644963999996</v>
      </c>
      <c r="AX117" s="4">
        <f>SUMIFS($AW$3:$AW117,$D$3:$D117,D117)</f>
        <v>5418.9504423629996</v>
      </c>
      <c r="AY117" s="4">
        <f t="shared" si="97"/>
        <v>9167.5549396009992</v>
      </c>
      <c r="AZ117" s="97">
        <f t="shared" si="108"/>
        <v>0.32837484949861473</v>
      </c>
      <c r="BA117" s="97">
        <f t="shared" si="109"/>
        <v>0.30046902771381889</v>
      </c>
      <c r="BB117" s="97">
        <f t="shared" si="124"/>
        <v>0.23772848928566881</v>
      </c>
      <c r="BC117" s="4">
        <v>542.97477747999994</v>
      </c>
      <c r="BD117" s="4">
        <f t="shared" si="88"/>
        <v>264.10167216000002</v>
      </c>
      <c r="BE117" s="4">
        <v>217.51924783499999</v>
      </c>
      <c r="BF117" s="4">
        <v>17.927135302</v>
      </c>
      <c r="BG117" s="4">
        <f t="shared" si="76"/>
        <v>2.5782852457193091</v>
      </c>
      <c r="BH117" s="4">
        <f>Datos1[[#This Row],[Intereses]]/Datos1[[#This Row],[PIB nominal (miles de millones de G.)]]*100</f>
        <v>1.2172513549359037E-2</v>
      </c>
      <c r="BI117" s="4">
        <v>317.62257606499998</v>
      </c>
      <c r="BJ117" s="4">
        <v>201.60464684900001</v>
      </c>
      <c r="BK117" s="4">
        <v>33.352124971000009</v>
      </c>
      <c r="BL117" s="56">
        <f t="shared" si="126"/>
        <v>365.90675733699982</v>
      </c>
      <c r="BM117" s="56">
        <f>SUMIFS($BL$3:$BL117,$D$3:$D117,D117)</f>
        <v>1593.574847262</v>
      </c>
      <c r="BN117" s="56">
        <f t="shared" si="128"/>
        <v>2272.2578317969992</v>
      </c>
      <c r="BO117" s="100">
        <f t="shared" si="110"/>
        <v>-0.39848567069875929</v>
      </c>
      <c r="BP117" s="100">
        <f t="shared" si="111"/>
        <v>-0.4367641689051821</v>
      </c>
      <c r="BQ117" s="100">
        <f t="shared" si="119"/>
        <v>-0.43221302699651898</v>
      </c>
      <c r="BR117" s="2">
        <f t="shared" si="78"/>
        <v>0.24845045716756312</v>
      </c>
      <c r="BS117" s="2">
        <f>+Datos1[[#This Row],[RON acumulado 12 meses]]/Datos1[[#This Row],[PIB nominal (miles de millones de G.)]]*100</f>
        <v>1.5428616328957163</v>
      </c>
      <c r="BT117" s="56">
        <v>244.86899949600001</v>
      </c>
      <c r="BU117" s="56">
        <f>SUMIFS($BT$3:$BT117,$D$3:$D117,D117)</f>
        <v>997.68005099200002</v>
      </c>
      <c r="BV117" s="56">
        <f t="shared" si="98"/>
        <v>2609.0800786310001</v>
      </c>
      <c r="BW117" s="100">
        <f t="shared" si="112"/>
        <v>0.96391687977521379</v>
      </c>
      <c r="BX117" s="100">
        <f t="shared" si="113"/>
        <v>0.18411348713165343</v>
      </c>
      <c r="BY117" s="100">
        <f t="shared" si="120"/>
        <v>0.13666818382847867</v>
      </c>
      <c r="BZ117" s="56">
        <f t="shared" si="79"/>
        <v>35.217122975813737</v>
      </c>
      <c r="CA117" s="56">
        <f>Datos1[[#This Row],[Adquisición Neta de Activos no Financieros]]/Datos1[[#This Row],[PIB nominal (miles de millones de G.)]]*100</f>
        <v>0.16626589602693073</v>
      </c>
      <c r="CB117" s="56">
        <f>+Datos1[[#This Row],[ANANF acumulado por año]]/Datos1[[#This Row],[PIB nominal (miles de millones de G.)]]*100</f>
        <v>0.67742412460458679</v>
      </c>
      <c r="CC117" s="56">
        <f>+Datos1[[#This Row],[ANANF acumulado 12 meses]]/Datos1[[#This Row],[PIB nominal (miles de millones de G.)]]*100</f>
        <v>1.7715637257981458</v>
      </c>
      <c r="CD117" s="4">
        <v>124.289732688</v>
      </c>
      <c r="CE117" s="4">
        <f t="shared" si="80"/>
        <v>17.875381570200823</v>
      </c>
      <c r="CF117" s="4">
        <f t="shared" si="81"/>
        <v>120.57926680800001</v>
      </c>
      <c r="CG117" s="4">
        <f t="shared" si="82"/>
        <v>17.341741405612918</v>
      </c>
      <c r="CH117" s="56">
        <f t="shared" si="83"/>
        <v>121.0377578409998</v>
      </c>
      <c r="CI117" s="56">
        <f>SUMIFS($CH$3:$CH117,$D$3:$D117,D117)</f>
        <v>595.89479626999992</v>
      </c>
      <c r="CJ117" s="56">
        <f t="shared" si="129"/>
        <v>-336.82224683400045</v>
      </c>
      <c r="CK117" s="56">
        <f>Datos1[[#This Row],[Resultado Fiscal (miles de millones de G.)]]*1000/$F$207</f>
        <v>17.407681704816557</v>
      </c>
      <c r="CL117" s="56">
        <f t="shared" si="99"/>
        <v>-48.441862841591174</v>
      </c>
      <c r="CM117" s="100">
        <f t="shared" si="114"/>
        <v>-0.74972823470213523</v>
      </c>
      <c r="CN117" s="100">
        <f t="shared" si="115"/>
        <v>-0.70006800771232092</v>
      </c>
      <c r="CO117" s="100">
        <f t="shared" si="121"/>
        <v>-1.1973668600677843</v>
      </c>
      <c r="CP117" s="4">
        <f t="shared" si="84"/>
        <v>8.218456114063237E-2</v>
      </c>
      <c r="CQ117" s="4">
        <f t="shared" si="130"/>
        <v>-0.22870209290242932</v>
      </c>
      <c r="CR117" s="73">
        <v>888.05755587800002</v>
      </c>
      <c r="CS117" s="113">
        <f>SUM(Datos1[[#This Row],[FFPP]:[MTESS]])</f>
        <v>0</v>
      </c>
      <c r="CT117" s="113"/>
      <c r="CU117" s="113"/>
      <c r="CV117" s="113"/>
      <c r="CW117" s="113"/>
      <c r="CX117" s="113"/>
      <c r="CY117" s="113"/>
      <c r="CZ117" s="113"/>
    </row>
    <row r="118" spans="1:104">
      <c r="A118">
        <v>116</v>
      </c>
      <c r="B118" s="3">
        <v>41122</v>
      </c>
      <c r="C118" s="14" t="str">
        <f t="shared" si="66"/>
        <v>Agosto</v>
      </c>
      <c r="D118" s="14">
        <f t="shared" si="85"/>
        <v>2012</v>
      </c>
      <c r="E118" s="15">
        <f t="shared" si="67"/>
        <v>147275.54197665266</v>
      </c>
      <c r="F118" s="15">
        <f t="shared" si="125"/>
        <v>4422.0911214209764</v>
      </c>
      <c r="G118" s="56">
        <v>1575.3633269430002</v>
      </c>
      <c r="H118" s="4">
        <f t="shared" si="86"/>
        <v>1.0696707041775748</v>
      </c>
      <c r="I118" s="4">
        <f>SUMIFS($G$3:$G118,$D$3:$D118,D118)</f>
        <v>13370.386927495001</v>
      </c>
      <c r="J118" s="2">
        <f t="shared" si="93"/>
        <v>20420.739925763995</v>
      </c>
      <c r="K118" s="95">
        <f t="shared" si="100"/>
        <v>0.12178193265325299</v>
      </c>
      <c r="L118" s="95">
        <f t="shared" si="101"/>
        <v>0.11986860509801622</v>
      </c>
      <c r="M118" s="95">
        <f t="shared" si="116"/>
        <v>0.12344826238127382</v>
      </c>
      <c r="N118" s="4">
        <v>1069.1175974400001</v>
      </c>
      <c r="O118" s="4">
        <f t="shared" si="69"/>
        <v>0.72593017353111178</v>
      </c>
      <c r="P118" s="4">
        <f>SUMIFS($N$3:$N118,$D$3:$D118,D118)</f>
        <v>9061.0423157009991</v>
      </c>
      <c r="Q118" s="4">
        <f t="shared" si="127"/>
        <v>13800.548726012001</v>
      </c>
      <c r="R118" s="97">
        <f t="shared" si="102"/>
        <v>0.11713641281712794</v>
      </c>
      <c r="S118" s="97">
        <f t="shared" si="103"/>
        <v>6.9625761722099444E-2</v>
      </c>
      <c r="T118" s="97">
        <f t="shared" si="117"/>
        <v>8.8756749245001432E-2</v>
      </c>
      <c r="U118" s="4">
        <v>446.28446103065852</v>
      </c>
      <c r="V118" s="4">
        <f t="shared" si="94"/>
        <v>6817.8857020942669</v>
      </c>
      <c r="W118" s="97">
        <f t="shared" si="122"/>
        <v>0.14577225136562633</v>
      </c>
      <c r="X118" s="97">
        <f t="shared" si="104"/>
        <v>0.2785673390529424</v>
      </c>
      <c r="Y118" s="4">
        <v>642.40882743000009</v>
      </c>
      <c r="Z118" s="4">
        <f t="shared" si="95"/>
        <v>6933.8725088230003</v>
      </c>
      <c r="AA118" s="97">
        <f t="shared" si="123"/>
        <v>3.3145067511173965E-2</v>
      </c>
      <c r="AB118" s="97">
        <f t="shared" si="105"/>
        <v>5.7092941562069788E-2</v>
      </c>
      <c r="AC118" s="4">
        <v>153.03599513600003</v>
      </c>
      <c r="AD118" s="4">
        <f t="shared" si="70"/>
        <v>0.1039113440575629</v>
      </c>
      <c r="AE118" s="4">
        <v>72.716620061</v>
      </c>
      <c r="AF118" s="4">
        <f t="shared" si="71"/>
        <v>4.9374539102037492E-2</v>
      </c>
      <c r="AG118" s="4">
        <v>280.493114306</v>
      </c>
      <c r="AH118" s="4">
        <f t="shared" si="72"/>
        <v>63.42997161394257</v>
      </c>
      <c r="AI118" s="4">
        <v>203.783322793</v>
      </c>
      <c r="AJ118" s="4">
        <f t="shared" si="73"/>
        <v>29.308170303273773</v>
      </c>
      <c r="AK118" s="101">
        <f>SUMIFS($AJ$3:$AJ118,$D$3:$D118,D118)</f>
        <v>217.215336436575</v>
      </c>
      <c r="AL118" s="4">
        <v>11.710835078000001</v>
      </c>
      <c r="AM118" s="4">
        <f t="shared" si="74"/>
        <v>1.6842553362829267</v>
      </c>
      <c r="AN118" s="101">
        <f>SUMIFS($AM$3:$AM118,$D$3:$D118,D118)</f>
        <v>32.11273903866703</v>
      </c>
      <c r="AO118" s="4">
        <f t="shared" si="87"/>
        <v>64.998956434999997</v>
      </c>
      <c r="AP118" s="56">
        <v>1471.2967148519997</v>
      </c>
      <c r="AQ118" s="4">
        <f t="shared" si="75"/>
        <v>0.99900954028418509</v>
      </c>
      <c r="AR118" s="4">
        <f>SUMIFS($AP$3:$AP118,$D$3:$D118,D118)</f>
        <v>11672.745468142</v>
      </c>
      <c r="AS118" s="4">
        <f t="shared" si="96"/>
        <v>18112.086666586998</v>
      </c>
      <c r="AT118" s="97">
        <f t="shared" si="106"/>
        <v>9.8746622038176524E-2</v>
      </c>
      <c r="AU118" s="97">
        <f t="shared" si="107"/>
        <v>0.29382478911168342</v>
      </c>
      <c r="AV118" s="98">
        <f t="shared" si="118"/>
        <v>0.26549831301005833</v>
      </c>
      <c r="AW118" s="4">
        <v>794.10117989299977</v>
      </c>
      <c r="AX118" s="4">
        <f>SUMIFS($AW$3:$AW118,$D$3:$D118,D118)</f>
        <v>6213.0516222559991</v>
      </c>
      <c r="AY118" s="4">
        <f t="shared" si="97"/>
        <v>9357.614098521999</v>
      </c>
      <c r="AZ118" s="97">
        <f t="shared" si="108"/>
        <v>0.31464559140300263</v>
      </c>
      <c r="BA118" s="97">
        <f t="shared" si="109"/>
        <v>0.30226389425990963</v>
      </c>
      <c r="BB118" s="97">
        <f t="shared" si="124"/>
        <v>0.24923161551317885</v>
      </c>
      <c r="BC118" s="4">
        <v>542.39494936699998</v>
      </c>
      <c r="BD118" s="4">
        <f t="shared" si="88"/>
        <v>251.70623052599979</v>
      </c>
      <c r="BE118" s="4">
        <v>132.034248663</v>
      </c>
      <c r="BF118" s="4">
        <v>38.518974217999997</v>
      </c>
      <c r="BG118" s="4">
        <f t="shared" si="76"/>
        <v>5.5398088558762781</v>
      </c>
      <c r="BH118" s="4">
        <f>Datos1[[#This Row],[Intereses]]/Datos1[[#This Row],[PIB nominal (miles de millones de G.)]]*100</f>
        <v>2.6154359169906397E-2</v>
      </c>
      <c r="BI118" s="4">
        <v>252.05201273999998</v>
      </c>
      <c r="BJ118" s="4">
        <v>222.84591242799996</v>
      </c>
      <c r="BK118" s="4">
        <v>31.744386909999996</v>
      </c>
      <c r="BL118" s="56">
        <f t="shared" si="126"/>
        <v>104.06661209100048</v>
      </c>
      <c r="BM118" s="56">
        <f>SUMIFS($BL$3:$BL118,$D$3:$D118,D118)</f>
        <v>1697.6414593530005</v>
      </c>
      <c r="BN118" s="56">
        <f t="shared" si="128"/>
        <v>2308.6532591769997</v>
      </c>
      <c r="BO118" s="100">
        <f t="shared" si="110"/>
        <v>0.5378275485412729</v>
      </c>
      <c r="BP118" s="100">
        <f t="shared" si="111"/>
        <v>-0.41399856351943476</v>
      </c>
      <c r="BQ118" s="100">
        <f t="shared" si="119"/>
        <v>-0.4026188254433074</v>
      </c>
      <c r="BR118" s="2">
        <f t="shared" si="78"/>
        <v>7.0661163893389695E-2</v>
      </c>
      <c r="BS118" s="2">
        <f>+Datos1[[#This Row],[RON acumulado 12 meses]]/Datos1[[#This Row],[PIB nominal (miles de millones de G.)]]*100</f>
        <v>1.5675741051036067</v>
      </c>
      <c r="BT118" s="56">
        <v>226.32655082999995</v>
      </c>
      <c r="BU118" s="56">
        <f>SUMIFS($BT$3:$BT118,$D$3:$D118,D118)</f>
        <v>1224.006601822</v>
      </c>
      <c r="BV118" s="56">
        <f t="shared" si="98"/>
        <v>2676.1798172109998</v>
      </c>
      <c r="BW118" s="100">
        <f t="shared" si="112"/>
        <v>0.42140979670338119</v>
      </c>
      <c r="BX118" s="100">
        <f t="shared" si="113"/>
        <v>0.22183023981092487</v>
      </c>
      <c r="BY118" s="100">
        <f t="shared" si="120"/>
        <v>0.16926976495760471</v>
      </c>
      <c r="BZ118" s="56">
        <f t="shared" si="79"/>
        <v>32.550343202599102</v>
      </c>
      <c r="CA118" s="56">
        <f>Datos1[[#This Row],[Adquisición Neta de Activos no Financieros]]/Datos1[[#This Row],[PIB nominal (miles de millones de G.)]]*100</f>
        <v>0.15367558509197615</v>
      </c>
      <c r="CB118" s="56">
        <f>+Datos1[[#This Row],[ANANF acumulado por año]]/Datos1[[#This Row],[PIB nominal (miles de millones de G.)]]*100</f>
        <v>0.8310997096965631</v>
      </c>
      <c r="CC118" s="56">
        <f>+Datos1[[#This Row],[ANANF acumulado 12 meses]]/Datos1[[#This Row],[PIB nominal (miles de millones de G.)]]*100</f>
        <v>1.8171244059215548</v>
      </c>
      <c r="CD118" s="4">
        <v>146.819510108</v>
      </c>
      <c r="CE118" s="4">
        <f t="shared" si="80"/>
        <v>21.115619998302918</v>
      </c>
      <c r="CF118" s="4">
        <f t="shared" si="81"/>
        <v>79.507040721999942</v>
      </c>
      <c r="CG118" s="4">
        <f t="shared" si="82"/>
        <v>11.434723204296189</v>
      </c>
      <c r="CH118" s="56">
        <f t="shared" si="83"/>
        <v>-122.25993873899947</v>
      </c>
      <c r="CI118" s="56">
        <f>SUMIFS($CH$3:$CH118,$D$3:$D118,D118)</f>
        <v>473.63485753100042</v>
      </c>
      <c r="CJ118" s="56">
        <f t="shared" si="129"/>
        <v>-367.52655803399978</v>
      </c>
      <c r="CK118" s="56">
        <f>Datos1[[#This Row],[Resultado Fiscal (miles de millones de G.)]]*1000/$F$207</f>
        <v>-17.583456078347442</v>
      </c>
      <c r="CL118" s="56">
        <f t="shared" si="99"/>
        <v>-52.857764836713628</v>
      </c>
      <c r="CM118" s="100">
        <f t="shared" si="114"/>
        <v>0.33536235865916675</v>
      </c>
      <c r="CN118" s="100">
        <f t="shared" si="115"/>
        <v>-0.75008855409508346</v>
      </c>
      <c r="CO118" s="100">
        <f t="shared" si="121"/>
        <v>-1.2332225937879771</v>
      </c>
      <c r="CP118" s="4">
        <f t="shared" si="84"/>
        <v>-8.3014421198586472E-2</v>
      </c>
      <c r="CQ118" s="4">
        <f t="shared" si="130"/>
        <v>-0.24955030081794785</v>
      </c>
      <c r="CR118" s="73">
        <v>874.779758442</v>
      </c>
      <c r="CS118" s="113">
        <f>SUM(Datos1[[#This Row],[FFPP]:[MTESS]])</f>
        <v>0</v>
      </c>
      <c r="CT118" s="113"/>
      <c r="CU118" s="113"/>
      <c r="CV118" s="113"/>
      <c r="CW118" s="113"/>
      <c r="CX118" s="113"/>
      <c r="CY118" s="113"/>
      <c r="CZ118" s="113"/>
    </row>
    <row r="119" spans="1:104">
      <c r="A119">
        <v>117</v>
      </c>
      <c r="B119" s="3">
        <v>41153</v>
      </c>
      <c r="C119" s="14" t="str">
        <f t="shared" si="66"/>
        <v>Septiembre</v>
      </c>
      <c r="D119" s="14">
        <f t="shared" si="85"/>
        <v>2012</v>
      </c>
      <c r="E119" s="15">
        <f t="shared" si="67"/>
        <v>147275.54197665266</v>
      </c>
      <c r="F119" s="15">
        <f t="shared" si="125"/>
        <v>4422.0911214209764</v>
      </c>
      <c r="G119" s="56">
        <v>1861.1546437239999</v>
      </c>
      <c r="H119" s="4">
        <f t="shared" si="86"/>
        <v>1.2637228277992321</v>
      </c>
      <c r="I119" s="4">
        <f>SUMIFS($G$3:$G119,$D$3:$D119,D119)</f>
        <v>15231.541571219001</v>
      </c>
      <c r="J119" s="2">
        <f t="shared" si="93"/>
        <v>20672.832514337999</v>
      </c>
      <c r="K119" s="95">
        <f t="shared" si="100"/>
        <v>0.12593170588362312</v>
      </c>
      <c r="L119" s="95">
        <f t="shared" si="101"/>
        <v>0.15667051980198465</v>
      </c>
      <c r="M119" s="95">
        <f t="shared" si="116"/>
        <v>0.12416433879572941</v>
      </c>
      <c r="N119" s="4">
        <v>1320.101336748</v>
      </c>
      <c r="O119" s="4">
        <f t="shared" si="69"/>
        <v>0.8963479740290301</v>
      </c>
      <c r="P119" s="4">
        <f>SUMIFS($N$3:$N119,$D$3:$D119,D119)</f>
        <v>10381.143652448998</v>
      </c>
      <c r="Q119" s="4">
        <f t="shared" si="127"/>
        <v>13808.363315226001</v>
      </c>
      <c r="R119" s="97">
        <f t="shared" si="102"/>
        <v>5.9549402816763131E-3</v>
      </c>
      <c r="S119" s="97">
        <f t="shared" si="103"/>
        <v>6.1085437676237087E-2</v>
      </c>
      <c r="T119" s="97">
        <f t="shared" si="117"/>
        <v>6.8593996045654082E-2</v>
      </c>
      <c r="U119" s="4">
        <v>752.13413200475873</v>
      </c>
      <c r="V119" s="4">
        <f t="shared" si="94"/>
        <v>6853.1963189400258</v>
      </c>
      <c r="W119" s="97">
        <f t="shared" si="122"/>
        <v>0.12001849688103072</v>
      </c>
      <c r="X119" s="97">
        <f t="shared" si="104"/>
        <v>4.9259847227425713E-2</v>
      </c>
      <c r="Y119" s="4">
        <v>567.81867698600013</v>
      </c>
      <c r="Z119" s="4">
        <f t="shared" si="95"/>
        <v>6908.8361593449999</v>
      </c>
      <c r="AA119" s="97">
        <f t="shared" si="123"/>
        <v>1.7908738475043373E-2</v>
      </c>
      <c r="AB119" s="97">
        <f t="shared" si="105"/>
        <v>-4.2230137825305936E-2</v>
      </c>
      <c r="AC119" s="4">
        <v>125.261946721</v>
      </c>
      <c r="AD119" s="4">
        <f t="shared" si="70"/>
        <v>8.5052782722644854E-2</v>
      </c>
      <c r="AE119" s="4">
        <v>76.494283021000001</v>
      </c>
      <c r="AF119" s="4">
        <f t="shared" si="71"/>
        <v>5.1939569866343807E-2</v>
      </c>
      <c r="AG119" s="4">
        <v>339.29707723399997</v>
      </c>
      <c r="AH119" s="4">
        <f t="shared" si="72"/>
        <v>76.727744390072999</v>
      </c>
      <c r="AI119" s="4">
        <v>212.41151109399999</v>
      </c>
      <c r="AJ119" s="4">
        <f t="shared" si="73"/>
        <v>30.549078581088491</v>
      </c>
      <c r="AK119" s="101">
        <f>SUMIFS($AJ$3:$AJ119,$D$3:$D119,D119)</f>
        <v>247.76441501766348</v>
      </c>
      <c r="AL119" s="4">
        <v>0</v>
      </c>
      <c r="AM119" s="4">
        <f t="shared" si="74"/>
        <v>0</v>
      </c>
      <c r="AN119" s="101">
        <f>SUMIFS($AM$3:$AM119,$D$3:$D119,D119)</f>
        <v>32.11273903866703</v>
      </c>
      <c r="AO119" s="4">
        <f t="shared" si="87"/>
        <v>126.88556613999998</v>
      </c>
      <c r="AP119" s="56">
        <v>1342.1995347699999</v>
      </c>
      <c r="AQ119" s="4">
        <f t="shared" si="75"/>
        <v>0.91135263653130982</v>
      </c>
      <c r="AR119" s="4">
        <f>SUMIFS($AP$3:$AP119,$D$3:$D119,D119)</f>
        <v>13014.945002912</v>
      </c>
      <c r="AS119" s="4">
        <f t="shared" si="96"/>
        <v>18320.503346593996</v>
      </c>
      <c r="AT119" s="97">
        <f t="shared" si="106"/>
        <v>0.18382415921306738</v>
      </c>
      <c r="AU119" s="97">
        <f t="shared" si="107"/>
        <v>0.28154428098228457</v>
      </c>
      <c r="AV119" s="98">
        <f t="shared" si="118"/>
        <v>0.26817385645964809</v>
      </c>
      <c r="AW119" s="4">
        <v>808.46329931999992</v>
      </c>
      <c r="AX119" s="4">
        <f>SUMIFS($AW$3:$AW119,$D$3:$D119,D119)</f>
        <v>7021.5149215759993</v>
      </c>
      <c r="AY119" s="4">
        <f t="shared" si="97"/>
        <v>9540.8341997029984</v>
      </c>
      <c r="AZ119" s="97">
        <f t="shared" si="108"/>
        <v>0.29303813576276228</v>
      </c>
      <c r="BA119" s="97">
        <f t="shared" si="109"/>
        <v>0.30119493144627274</v>
      </c>
      <c r="BB119" s="97">
        <f t="shared" si="124"/>
        <v>0.25749604166340734</v>
      </c>
      <c r="BC119" s="4">
        <v>544.36450020500001</v>
      </c>
      <c r="BD119" s="4">
        <f t="shared" si="88"/>
        <v>264.09879911499991</v>
      </c>
      <c r="BE119" s="4">
        <v>119.25199327099999</v>
      </c>
      <c r="BF119" s="4">
        <v>39.759797610999996</v>
      </c>
      <c r="BG119" s="4">
        <f t="shared" si="76"/>
        <v>5.718264397870116</v>
      </c>
      <c r="BH119" s="4">
        <f>Datos1[[#This Row],[Intereses]]/Datos1[[#This Row],[PIB nominal (miles de millones de G.)]]*100</f>
        <v>2.6996877470193286E-2</v>
      </c>
      <c r="BI119" s="4">
        <v>158.88459903700002</v>
      </c>
      <c r="BJ119" s="4">
        <v>190.25480025499999</v>
      </c>
      <c r="BK119" s="4">
        <v>25.585045276000002</v>
      </c>
      <c r="BL119" s="56">
        <f t="shared" si="126"/>
        <v>518.95510895400002</v>
      </c>
      <c r="BM119" s="56">
        <f>SUMIFS($BL$3:$BL119,$D$3:$D119,D119)</f>
        <v>2216.5965683070008</v>
      </c>
      <c r="BN119" s="56">
        <f t="shared" si="128"/>
        <v>2352.3291677440002</v>
      </c>
      <c r="BO119" s="100">
        <f t="shared" si="110"/>
        <v>9.1895266048749535E-2</v>
      </c>
      <c r="BP119" s="100">
        <f t="shared" si="111"/>
        <v>-0.34269919219714917</v>
      </c>
      <c r="BQ119" s="100">
        <f t="shared" si="119"/>
        <v>-0.40343837505701485</v>
      </c>
      <c r="BR119" s="2">
        <f t="shared" si="78"/>
        <v>0.35237019126792218</v>
      </c>
      <c r="BS119" s="2">
        <f>+Datos1[[#This Row],[RON acumulado 12 meses]]/Datos1[[#This Row],[PIB nominal (miles de millones de G.)]]*100</f>
        <v>1.5972300194399631</v>
      </c>
      <c r="BT119" s="56">
        <v>179.081099765</v>
      </c>
      <c r="BU119" s="56">
        <f>SUMIFS($BT$3:$BT119,$D$3:$D119,D119)</f>
        <v>1403.0877015870001</v>
      </c>
      <c r="BV119" s="56">
        <f t="shared" si="98"/>
        <v>2695.3975725350001</v>
      </c>
      <c r="BW119" s="100">
        <f t="shared" si="112"/>
        <v>0.1202136449177853</v>
      </c>
      <c r="BX119" s="100">
        <f t="shared" si="113"/>
        <v>0.20784595489926527</v>
      </c>
      <c r="BY119" s="100">
        <f t="shared" si="120"/>
        <v>0.19468479318462673</v>
      </c>
      <c r="BZ119" s="56">
        <f t="shared" si="79"/>
        <v>25.755490184746705</v>
      </c>
      <c r="CA119" s="56">
        <f>Datos1[[#This Row],[Adquisición Neta de Activos no Financieros]]/Datos1[[#This Row],[PIB nominal (miles de millones de G.)]]*100</f>
        <v>0.12159595365358726</v>
      </c>
      <c r="CB119" s="56">
        <f>+Datos1[[#This Row],[ANANF acumulado por año]]/Datos1[[#This Row],[PIB nominal (miles de millones de G.)]]*100</f>
        <v>0.95269566335015021</v>
      </c>
      <c r="CC119" s="56">
        <f>+Datos1[[#This Row],[ANANF acumulado 12 meses]]/Datos1[[#This Row],[PIB nominal (miles de millones de G.)]]*100</f>
        <v>1.830173249650846</v>
      </c>
      <c r="CD119" s="4">
        <v>79.327765068999994</v>
      </c>
      <c r="CE119" s="4">
        <f t="shared" si="80"/>
        <v>11.408939733414766</v>
      </c>
      <c r="CF119" s="4">
        <f t="shared" si="81"/>
        <v>99.75333469600001</v>
      </c>
      <c r="CG119" s="4">
        <f t="shared" si="82"/>
        <v>14.346550451331941</v>
      </c>
      <c r="CH119" s="56">
        <f t="shared" si="83"/>
        <v>339.87400918900005</v>
      </c>
      <c r="CI119" s="56">
        <f>SUMIFS($CH$3:$CH119,$D$3:$D119,D119)</f>
        <v>813.50886672000047</v>
      </c>
      <c r="CJ119" s="56">
        <f t="shared" si="129"/>
        <v>-343.06840479099947</v>
      </c>
      <c r="CK119" s="56">
        <f>Datos1[[#This Row],[Resultado Fiscal (miles de millones de G.)]]*1000/$F$207</f>
        <v>48.880768094482235</v>
      </c>
      <c r="CL119" s="56">
        <f t="shared" si="99"/>
        <v>-49.340186897926372</v>
      </c>
      <c r="CM119" s="100">
        <f t="shared" si="114"/>
        <v>7.7542560977618136E-2</v>
      </c>
      <c r="CN119" s="100">
        <f t="shared" si="115"/>
        <v>-0.6320007791273653</v>
      </c>
      <c r="CO119" s="100">
        <f t="shared" si="121"/>
        <v>-1.2033615729789848</v>
      </c>
      <c r="CP119" s="4">
        <f t="shared" si="84"/>
        <v>0.23077423761433496</v>
      </c>
      <c r="CQ119" s="4">
        <f t="shared" si="130"/>
        <v>-0.2329432302108829</v>
      </c>
      <c r="CR119" s="73">
        <v>889.33958689200006</v>
      </c>
      <c r="CS119" s="113">
        <f>SUM(Datos1[[#This Row],[FFPP]:[MTESS]])</f>
        <v>0</v>
      </c>
      <c r="CT119" s="113"/>
      <c r="CU119" s="113"/>
      <c r="CV119" s="113"/>
      <c r="CW119" s="113"/>
      <c r="CX119" s="113"/>
      <c r="CY119" s="113"/>
      <c r="CZ119" s="113"/>
    </row>
    <row r="120" spans="1:104">
      <c r="A120">
        <v>118</v>
      </c>
      <c r="B120" s="3">
        <v>41183</v>
      </c>
      <c r="C120" s="14" t="str">
        <f t="shared" si="66"/>
        <v>Octubre</v>
      </c>
      <c r="D120" s="14">
        <f t="shared" si="85"/>
        <v>2012</v>
      </c>
      <c r="E120" s="15">
        <f t="shared" si="67"/>
        <v>147275.54197665266</v>
      </c>
      <c r="F120" s="15">
        <f t="shared" si="125"/>
        <v>4422.0911214209764</v>
      </c>
      <c r="G120" s="56">
        <v>1611.8926080349997</v>
      </c>
      <c r="H120" s="4">
        <f t="shared" si="86"/>
        <v>1.0944740629713863</v>
      </c>
      <c r="I120" s="4">
        <f>SUMIFS($G$3:$G120,$D$3:$D120,D120)</f>
        <v>16843.434179254</v>
      </c>
      <c r="J120" s="2">
        <f t="shared" si="93"/>
        <v>20516.057217141002</v>
      </c>
      <c r="K120" s="95">
        <f t="shared" si="100"/>
        <v>0.1011218555166562</v>
      </c>
      <c r="L120" s="95">
        <f t="shared" si="101"/>
        <v>-8.8640324581700236E-2</v>
      </c>
      <c r="M120" s="95">
        <f t="shared" si="116"/>
        <v>9.3970120873417828E-2</v>
      </c>
      <c r="N120" s="4">
        <v>1070.14765579</v>
      </c>
      <c r="O120" s="4">
        <f t="shared" si="69"/>
        <v>0.72662958250029641</v>
      </c>
      <c r="P120" s="4">
        <f>SUMIFS($N$3:$N120,$D$3:$D120,D120)</f>
        <v>11451.291308238999</v>
      </c>
      <c r="Q120" s="4">
        <f t="shared" si="127"/>
        <v>13828.929505885999</v>
      </c>
      <c r="R120" s="97">
        <f t="shared" si="102"/>
        <v>1.9594658769486628E-2</v>
      </c>
      <c r="S120" s="97">
        <f t="shared" si="103"/>
        <v>5.7065538206103383E-2</v>
      </c>
      <c r="T120" s="97">
        <f t="shared" si="117"/>
        <v>6.3236219477984301E-2</v>
      </c>
      <c r="U120" s="4">
        <v>423.69569753965851</v>
      </c>
      <c r="V120" s="4">
        <f t="shared" si="94"/>
        <v>6885.3006859896841</v>
      </c>
      <c r="W120" s="97">
        <f t="shared" si="122"/>
        <v>0.11719135496666166</v>
      </c>
      <c r="X120" s="97">
        <f t="shared" si="104"/>
        <v>8.1984366225591021E-2</v>
      </c>
      <c r="Y120" s="4">
        <v>629.52515429799996</v>
      </c>
      <c r="Z120" s="4">
        <f t="shared" si="95"/>
        <v>6885.1868356600007</v>
      </c>
      <c r="AA120" s="97">
        <f t="shared" si="123"/>
        <v>9.9117148743816941E-3</v>
      </c>
      <c r="AB120" s="97">
        <f t="shared" si="105"/>
        <v>-3.6206747939737216E-2</v>
      </c>
      <c r="AC120" s="4">
        <v>142.80097299899998</v>
      </c>
      <c r="AD120" s="4">
        <f t="shared" si="70"/>
        <v>9.6961770489792501E-2</v>
      </c>
      <c r="AE120" s="4">
        <v>90.589691149000004</v>
      </c>
      <c r="AF120" s="4">
        <f t="shared" si="71"/>
        <v>6.1510343084231214E-2</v>
      </c>
      <c r="AG120" s="4">
        <v>308.35428809699999</v>
      </c>
      <c r="AH120" s="4">
        <f t="shared" si="72"/>
        <v>69.730423826706385</v>
      </c>
      <c r="AI120" s="4">
        <v>198.25317643899999</v>
      </c>
      <c r="AJ120" s="4">
        <f t="shared" si="73"/>
        <v>28.512823221266981</v>
      </c>
      <c r="AK120" s="101">
        <f>SUMIFS($AJ$3:$AJ120,$D$3:$D120,D120)</f>
        <v>276.27723823893047</v>
      </c>
      <c r="AL120" s="4">
        <v>0</v>
      </c>
      <c r="AM120" s="4">
        <f t="shared" si="74"/>
        <v>0</v>
      </c>
      <c r="AN120" s="101">
        <f>SUMIFS($AM$3:$AM120,$D$3:$D120,D120)</f>
        <v>32.11273903866703</v>
      </c>
      <c r="AO120" s="4">
        <f t="shared" si="87"/>
        <v>110.10111165800001</v>
      </c>
      <c r="AP120" s="56">
        <v>1580.4766163980003</v>
      </c>
      <c r="AQ120" s="4">
        <f t="shared" si="75"/>
        <v>1.0731426244885593</v>
      </c>
      <c r="AR120" s="4">
        <f>SUMIFS($AP$3:$AP120,$D$3:$D120,D120)</f>
        <v>14595.42161931</v>
      </c>
      <c r="AS120" s="4">
        <f t="shared" si="96"/>
        <v>18697.656425041001</v>
      </c>
      <c r="AT120" s="97">
        <f t="shared" si="106"/>
        <v>0.3134261622516008</v>
      </c>
      <c r="AU120" s="97">
        <f t="shared" si="107"/>
        <v>0.2849217111200899</v>
      </c>
      <c r="AV120" s="98">
        <f t="shared" si="118"/>
        <v>0.27612047324863154</v>
      </c>
      <c r="AW120" s="4">
        <v>825.71445241900017</v>
      </c>
      <c r="AX120" s="4">
        <f>SUMIFS($AW$3:$AW120,$D$3:$D120,D120)</f>
        <v>7847.2293739949992</v>
      </c>
      <c r="AY120" s="4">
        <f t="shared" si="97"/>
        <v>9743.5695016159989</v>
      </c>
      <c r="AZ120" s="97">
        <f t="shared" si="108"/>
        <v>0.32542871097424886</v>
      </c>
      <c r="BA120" s="97">
        <f t="shared" si="109"/>
        <v>0.30370310171934878</v>
      </c>
      <c r="BB120" s="97">
        <f t="shared" si="124"/>
        <v>0.26923367403763288</v>
      </c>
      <c r="BC120" s="4">
        <v>545.62450502299998</v>
      </c>
      <c r="BD120" s="4">
        <f t="shared" si="88"/>
        <v>280.08994739600018</v>
      </c>
      <c r="BE120" s="4">
        <v>141.64831124599999</v>
      </c>
      <c r="BF120" s="4">
        <v>11.236642564</v>
      </c>
      <c r="BG120" s="4">
        <f t="shared" si="76"/>
        <v>1.6160568460121276</v>
      </c>
      <c r="BH120" s="4">
        <f>Datos1[[#This Row],[Intereses]]/Datos1[[#This Row],[PIB nominal (miles de millones de G.)]]*100</f>
        <v>7.629673205196098E-3</v>
      </c>
      <c r="BI120" s="4">
        <v>283.86991055900006</v>
      </c>
      <c r="BJ120" s="4">
        <v>219.79046133599996</v>
      </c>
      <c r="BK120" s="4">
        <v>98.216838274000011</v>
      </c>
      <c r="BL120" s="56">
        <f t="shared" si="126"/>
        <v>31.415991636999479</v>
      </c>
      <c r="BM120" s="56">
        <f>SUMIFS($BL$3:$BL120,$D$3:$D120,D120)</f>
        <v>2248.0125599440003</v>
      </c>
      <c r="BN120" s="56">
        <f t="shared" si="128"/>
        <v>1818.4007920999998</v>
      </c>
      <c r="BO120" s="100">
        <f t="shared" si="110"/>
        <v>-0.94443034466215103</v>
      </c>
      <c r="BP120" s="100">
        <f t="shared" si="111"/>
        <v>-0.42909292817750566</v>
      </c>
      <c r="BQ120" s="100">
        <f t="shared" si="119"/>
        <v>-0.55668346821087711</v>
      </c>
      <c r="BR120" s="2">
        <f t="shared" si="78"/>
        <v>2.1331438482826839E-2</v>
      </c>
      <c r="BS120" s="2">
        <f>+Datos1[[#This Row],[RON acumulado 12 meses]]/Datos1[[#This Row],[PIB nominal (miles de millones de G.)]]*100</f>
        <v>1.2346929895449088</v>
      </c>
      <c r="BT120" s="56">
        <v>154.06207348399997</v>
      </c>
      <c r="BU120" s="56">
        <f>SUMIFS($BT$3:$BT120,$D$3:$D120,D120)</f>
        <v>1557.149775071</v>
      </c>
      <c r="BV120" s="56">
        <f t="shared" si="98"/>
        <v>2634.9843343889997</v>
      </c>
      <c r="BW120" s="100">
        <f t="shared" si="112"/>
        <v>-0.28167921839983778</v>
      </c>
      <c r="BX120" s="100">
        <f t="shared" si="113"/>
        <v>0.13155095685910156</v>
      </c>
      <c r="BY120" s="100">
        <f t="shared" si="120"/>
        <v>0.16185971900483875</v>
      </c>
      <c r="BZ120" s="56">
        <f t="shared" si="79"/>
        <v>22.157247340260028</v>
      </c>
      <c r="CA120" s="56">
        <f>Datos1[[#This Row],[Adquisición Neta de Activos no Financieros]]/Datos1[[#This Row],[PIB nominal (miles de millones de G.)]]*100</f>
        <v>0.10460805060790281</v>
      </c>
      <c r="CB120" s="56">
        <f>+Datos1[[#This Row],[ANANF acumulado por año]]/Datos1[[#This Row],[PIB nominal (miles de millones de G.)]]*100</f>
        <v>1.057303713958053</v>
      </c>
      <c r="CC120" s="56">
        <f>+Datos1[[#This Row],[ANANF acumulado 12 meses]]/Datos1[[#This Row],[PIB nominal (miles de millones de G.)]]*100</f>
        <v>1.7891526990997046</v>
      </c>
      <c r="CD120" s="4">
        <v>69.271594979999989</v>
      </c>
      <c r="CE120" s="4">
        <f t="shared" si="80"/>
        <v>9.9626587447271859</v>
      </c>
      <c r="CF120" s="4">
        <f t="shared" si="81"/>
        <v>84.790478503999978</v>
      </c>
      <c r="CG120" s="4">
        <f t="shared" si="82"/>
        <v>12.194588595532842</v>
      </c>
      <c r="CH120" s="56">
        <f t="shared" si="83"/>
        <v>-122.64608184700049</v>
      </c>
      <c r="CI120" s="56">
        <f>SUMIFS($CH$3:$CH120,$D$3:$D120,D120)</f>
        <v>690.86278487300001</v>
      </c>
      <c r="CJ120" s="56">
        <f t="shared" si="129"/>
        <v>-816.58354228900009</v>
      </c>
      <c r="CK120" s="56">
        <f>Datos1[[#This Row],[Resultado Fiscal (miles de millones de G.)]]*1000/$F$207</f>
        <v>-17.638991280225692</v>
      </c>
      <c r="CL120" s="56">
        <f t="shared" si="99"/>
        <v>-117.44125670463684</v>
      </c>
      <c r="CM120" s="100">
        <f t="shared" si="114"/>
        <v>-1.3495494398029595</v>
      </c>
      <c r="CN120" s="100">
        <f t="shared" si="115"/>
        <v>-0.73028930064984299</v>
      </c>
      <c r="CO120" s="100">
        <f t="shared" si="121"/>
        <v>-1.4452693736042392</v>
      </c>
      <c r="CP120" s="4">
        <f t="shared" si="84"/>
        <v>-8.3276612125075977E-2</v>
      </c>
      <c r="CQ120" s="4">
        <f t="shared" si="130"/>
        <v>-0.55445970955479607</v>
      </c>
      <c r="CR120" s="73">
        <v>911.43929913399995</v>
      </c>
      <c r="CS120" s="113">
        <f>SUM(Datos1[[#This Row],[FFPP]:[MTESS]])</f>
        <v>0</v>
      </c>
      <c r="CT120" s="113"/>
      <c r="CU120" s="113"/>
      <c r="CV120" s="113"/>
      <c r="CW120" s="113"/>
      <c r="CX120" s="113"/>
      <c r="CY120" s="113"/>
      <c r="CZ120" s="113"/>
    </row>
    <row r="121" spans="1:104">
      <c r="A121">
        <v>119</v>
      </c>
      <c r="B121" s="3">
        <v>41214</v>
      </c>
      <c r="C121" s="14" t="str">
        <f t="shared" si="66"/>
        <v>Noviembre</v>
      </c>
      <c r="D121" s="14">
        <f t="shared" si="85"/>
        <v>2012</v>
      </c>
      <c r="E121" s="15">
        <f t="shared" si="67"/>
        <v>147275.54197665266</v>
      </c>
      <c r="F121" s="15">
        <f t="shared" si="125"/>
        <v>4422.0911214209764</v>
      </c>
      <c r="G121" s="56">
        <v>1937.3664661090002</v>
      </c>
      <c r="H121" s="4">
        <f t="shared" si="86"/>
        <v>1.3154706070721012</v>
      </c>
      <c r="I121" s="4">
        <f>SUMIFS($G$3:$G121,$D$3:$D121,D121)</f>
        <v>18780.800645363001</v>
      </c>
      <c r="J121" s="2">
        <f t="shared" si="93"/>
        <v>20635.148908542</v>
      </c>
      <c r="K121" s="95">
        <f t="shared" si="100"/>
        <v>9.7337102093137506E-2</v>
      </c>
      <c r="L121" s="95">
        <f t="shared" si="101"/>
        <v>6.549708166089796E-2</v>
      </c>
      <c r="M121" s="95">
        <f t="shared" si="116"/>
        <v>9.0557289392263041E-2</v>
      </c>
      <c r="N121" s="4">
        <v>1394.0275933280002</v>
      </c>
      <c r="O121" s="4">
        <f t="shared" si="69"/>
        <v>0.94654385556360265</v>
      </c>
      <c r="P121" s="4">
        <f>SUMIFS($N$3:$N121,$D$3:$D121,D121)</f>
        <v>12845.318901567</v>
      </c>
      <c r="Q121" s="4">
        <f t="shared" si="127"/>
        <v>13917.884828783001</v>
      </c>
      <c r="R121" s="97">
        <f t="shared" si="102"/>
        <v>6.8161223644437108E-2</v>
      </c>
      <c r="S121" s="97">
        <f t="shared" si="103"/>
        <v>5.8258524854261307E-2</v>
      </c>
      <c r="T121" s="97">
        <f t="shared" si="117"/>
        <v>5.5673309207614041E-2</v>
      </c>
      <c r="U121" s="4">
        <v>787.94843719065841</v>
      </c>
      <c r="V121" s="4">
        <f t="shared" si="94"/>
        <v>7018.5830094893417</v>
      </c>
      <c r="W121" s="97">
        <f t="shared" si="122"/>
        <v>0.11828359619775597</v>
      </c>
      <c r="X121" s="97">
        <f t="shared" si="104"/>
        <v>0.20358824248320095</v>
      </c>
      <c r="Y121" s="4">
        <v>600.59334702699982</v>
      </c>
      <c r="Z121" s="4">
        <f t="shared" si="95"/>
        <v>6832.3989967910011</v>
      </c>
      <c r="AA121" s="97">
        <f t="shared" si="123"/>
        <v>-8.0655252198051919E-3</v>
      </c>
      <c r="AB121" s="97">
        <f t="shared" si="105"/>
        <v>-8.0791795063108185E-2</v>
      </c>
      <c r="AC121" s="4">
        <v>41.632171604</v>
      </c>
      <c r="AD121" s="4">
        <f t="shared" si="70"/>
        <v>2.8268218229066083E-2</v>
      </c>
      <c r="AE121" s="4">
        <v>208.67448827600003</v>
      </c>
      <c r="AF121" s="4">
        <f t="shared" si="71"/>
        <v>0.14168984576480517</v>
      </c>
      <c r="AG121" s="4">
        <v>293.03221290099998</v>
      </c>
      <c r="AH121" s="4">
        <f t="shared" si="72"/>
        <v>66.265530233315999</v>
      </c>
      <c r="AI121" s="4">
        <v>191.59777972699999</v>
      </c>
      <c r="AJ121" s="4">
        <f t="shared" si="73"/>
        <v>27.55564234111576</v>
      </c>
      <c r="AK121" s="101">
        <f>SUMIFS($AJ$3:$AJ121,$D$3:$D121,D121)</f>
        <v>303.83288058004621</v>
      </c>
      <c r="AL121" s="4">
        <v>0</v>
      </c>
      <c r="AM121" s="4">
        <f t="shared" si="74"/>
        <v>0</v>
      </c>
      <c r="AN121" s="101">
        <f>SUMIFS($AM$3:$AM121,$D$3:$D121,D121)</f>
        <v>32.11273903866703</v>
      </c>
      <c r="AO121" s="4">
        <f t="shared" si="87"/>
        <v>101.43443317399999</v>
      </c>
      <c r="AP121" s="56">
        <v>2128.7825355320001</v>
      </c>
      <c r="AQ121" s="4">
        <f t="shared" si="75"/>
        <v>1.4454419973341346</v>
      </c>
      <c r="AR121" s="4">
        <f>SUMIFS($AP$3:$AP121,$D$3:$D121,D121)</f>
        <v>16724.204154842002</v>
      </c>
      <c r="AS121" s="4">
        <f t="shared" si="96"/>
        <v>19524.354846912</v>
      </c>
      <c r="AT121" s="97">
        <f t="shared" si="106"/>
        <v>0.6349040075042589</v>
      </c>
      <c r="AU121" s="97">
        <f t="shared" si="107"/>
        <v>0.32091440328336818</v>
      </c>
      <c r="AV121" s="98">
        <f t="shared" si="118"/>
        <v>0.32182108019080302</v>
      </c>
      <c r="AW121" s="4">
        <v>824.09028081700001</v>
      </c>
      <c r="AX121" s="4">
        <f>SUMIFS($AW$3:$AW121,$D$3:$D121,D121)</f>
        <v>8671.3196548119995</v>
      </c>
      <c r="AY121" s="4">
        <f t="shared" si="97"/>
        <v>9939.332992964999</v>
      </c>
      <c r="AZ121" s="97">
        <f t="shared" si="108"/>
        <v>0.31156317799970235</v>
      </c>
      <c r="BA121" s="97">
        <f t="shared" si="109"/>
        <v>0.30444604089648819</v>
      </c>
      <c r="BB121" s="97">
        <f t="shared" si="124"/>
        <v>0.2833928481639878</v>
      </c>
      <c r="BC121" s="4">
        <v>546.82709291599997</v>
      </c>
      <c r="BD121" s="4">
        <f t="shared" si="88"/>
        <v>277.26318790100004</v>
      </c>
      <c r="BE121" s="4">
        <v>166.61707638800002</v>
      </c>
      <c r="BF121" s="4">
        <v>8.3208296219999998</v>
      </c>
      <c r="BG121" s="4">
        <f t="shared" si="76"/>
        <v>1.1967038729357595</v>
      </c>
      <c r="BH121" s="4">
        <f>Datos1[[#This Row],[Intereses]]/Datos1[[#This Row],[PIB nominal (miles de millones de G.)]]*100</f>
        <v>5.6498380588672946E-3</v>
      </c>
      <c r="BI121" s="4">
        <v>645.16858537499991</v>
      </c>
      <c r="BJ121" s="4">
        <v>251.78118041800002</v>
      </c>
      <c r="BK121" s="4">
        <v>232.80458291200003</v>
      </c>
      <c r="BL121" s="56">
        <f t="shared" si="126"/>
        <v>-191.41606942299995</v>
      </c>
      <c r="BM121" s="56">
        <f>SUMIFS($BL$3:$BL121,$D$3:$D121,D121)</f>
        <v>2056.5964905210003</v>
      </c>
      <c r="BN121" s="56">
        <f t="shared" si="128"/>
        <v>1110.7940616300002</v>
      </c>
      <c r="BO121" s="100">
        <f t="shared" si="110"/>
        <v>-1.3708243559361324</v>
      </c>
      <c r="BP121" s="100">
        <f t="shared" si="111"/>
        <v>-0.5382384423490042</v>
      </c>
      <c r="BQ121" s="100">
        <f t="shared" si="119"/>
        <v>-0.73239391904322793</v>
      </c>
      <c r="BR121" s="2">
        <f t="shared" si="78"/>
        <v>-0.12997139026203333</v>
      </c>
      <c r="BS121" s="2">
        <f>+Datos1[[#This Row],[RON acumulado 12 meses]]/Datos1[[#This Row],[PIB nominal (miles de millones de G.)]]*100</f>
        <v>0.75422846639810193</v>
      </c>
      <c r="BT121" s="56">
        <v>643.89407579099986</v>
      </c>
      <c r="BU121" s="56">
        <f>SUMIFS($BT$3:$BT121,$D$3:$D121,D121)</f>
        <v>2201.043850862</v>
      </c>
      <c r="BV121" s="56">
        <f t="shared" si="98"/>
        <v>2937.6811895609999</v>
      </c>
      <c r="BW121" s="100">
        <f t="shared" si="112"/>
        <v>0.88716096403964606</v>
      </c>
      <c r="BX121" s="100">
        <f t="shared" si="113"/>
        <v>0.28167584244591759</v>
      </c>
      <c r="BY121" s="100">
        <f t="shared" si="120"/>
        <v>0.26326791620323942</v>
      </c>
      <c r="BZ121" s="56">
        <f t="shared" si="79"/>
        <v>92.605012873015767</v>
      </c>
      <c r="CA121" s="56">
        <f>Datos1[[#This Row],[Adquisición Neta de Activos no Financieros]]/Datos1[[#This Row],[PIB nominal (miles de millones de G.)]]*100</f>
        <v>0.4372036708532876</v>
      </c>
      <c r="CB121" s="56">
        <f>+Datos1[[#This Row],[ANANF acumulado por año]]/Datos1[[#This Row],[PIB nominal (miles de millones de G.)]]*100</f>
        <v>1.4945073848113408</v>
      </c>
      <c r="CC121" s="56">
        <f>+Datos1[[#This Row],[ANANF acumulado 12 meses]]/Datos1[[#This Row],[PIB nominal (miles de millones de G.)]]*100</f>
        <v>1.9946836726132744</v>
      </c>
      <c r="CD121" s="4">
        <v>408.466213783</v>
      </c>
      <c r="CE121" s="4">
        <f t="shared" si="80"/>
        <v>58.745716737801757</v>
      </c>
      <c r="CF121" s="4">
        <f t="shared" si="81"/>
        <v>235.42786200799986</v>
      </c>
      <c r="CG121" s="4">
        <f t="shared" si="82"/>
        <v>33.859296135214024</v>
      </c>
      <c r="CH121" s="56">
        <f t="shared" si="83"/>
        <v>-835.31014521399982</v>
      </c>
      <c r="CI121" s="56">
        <f>SUMIFS($CH$3:$CH121,$D$3:$D121,D121)</f>
        <v>-144.44736034099981</v>
      </c>
      <c r="CJ121" s="56">
        <f t="shared" si="129"/>
        <v>-1826.887127930999</v>
      </c>
      <c r="CK121" s="56">
        <f>Datos1[[#This Row],[Resultado Fiscal (miles de millones de G.)]]*1000/$F$207</f>
        <v>-120.13452159111223</v>
      </c>
      <c r="CL121" s="56">
        <f t="shared" si="99"/>
        <v>-262.74338025515618</v>
      </c>
      <c r="CM121" s="100">
        <f t="shared" si="114"/>
        <v>-5.7733797516695278</v>
      </c>
      <c r="CN121" s="100">
        <f t="shared" si="115"/>
        <v>-1.0527856516979568</v>
      </c>
      <c r="CO121" s="100">
        <f t="shared" si="121"/>
        <v>-2.0008183280529619</v>
      </c>
      <c r="CP121" s="4">
        <f t="shared" si="84"/>
        <v>-0.5671750611153209</v>
      </c>
      <c r="CQ121" s="4">
        <f t="shared" si="130"/>
        <v>-1.2404552062151721</v>
      </c>
      <c r="CR121" s="73">
        <v>932.58574329800001</v>
      </c>
      <c r="CS121" s="113">
        <f>SUM(Datos1[[#This Row],[FFPP]:[MTESS]])</f>
        <v>0</v>
      </c>
      <c r="CT121" s="113"/>
      <c r="CU121" s="113"/>
      <c r="CV121" s="113"/>
      <c r="CW121" s="113"/>
      <c r="CX121" s="113"/>
      <c r="CY121" s="113"/>
      <c r="CZ121" s="113"/>
    </row>
    <row r="122" spans="1:104">
      <c r="A122">
        <v>120</v>
      </c>
      <c r="B122" s="3">
        <v>41244</v>
      </c>
      <c r="C122" s="14" t="str">
        <f t="shared" si="66"/>
        <v>Diciembre</v>
      </c>
      <c r="D122" s="14">
        <f t="shared" si="85"/>
        <v>2012</v>
      </c>
      <c r="E122" s="15">
        <f t="shared" si="67"/>
        <v>147275.54197665266</v>
      </c>
      <c r="F122" s="15">
        <f t="shared" si="125"/>
        <v>4422.0911214209764</v>
      </c>
      <c r="G122" s="56">
        <v>1856.0509289409999</v>
      </c>
      <c r="H122" s="4">
        <f t="shared" si="86"/>
        <v>1.2602574086844893</v>
      </c>
      <c r="I122" s="4">
        <f>SUMIFS($G$3:$G122,$D$3:$D122,D122)</f>
        <v>20636.851574304001</v>
      </c>
      <c r="J122" s="2">
        <f t="shared" si="93"/>
        <v>20636.851574304001</v>
      </c>
      <c r="K122" s="95">
        <f t="shared" si="100"/>
        <v>8.7911618316597773E-2</v>
      </c>
      <c r="L122" s="95">
        <f t="shared" si="101"/>
        <v>9.1820171852763366E-4</v>
      </c>
      <c r="M122" s="95">
        <f t="shared" si="116"/>
        <v>8.7911618316597773E-2</v>
      </c>
      <c r="N122" s="4">
        <v>1025.2848621779999</v>
      </c>
      <c r="O122" s="4">
        <f t="shared" si="69"/>
        <v>0.69616777396788432</v>
      </c>
      <c r="P122" s="4">
        <f>SUMIFS($N$3:$N122,$D$3:$D122,D122)</f>
        <v>13870.603763744999</v>
      </c>
      <c r="Q122" s="4">
        <f t="shared" si="127"/>
        <v>13870.603763744999</v>
      </c>
      <c r="R122" s="97">
        <f t="shared" si="102"/>
        <v>-4.4082199367198815E-2</v>
      </c>
      <c r="S122" s="97">
        <f t="shared" si="103"/>
        <v>4.9949585992279832E-2</v>
      </c>
      <c r="T122" s="97">
        <f t="shared" si="117"/>
        <v>4.9949585992279832E-2</v>
      </c>
      <c r="U122" s="4">
        <v>443.60174545465844</v>
      </c>
      <c r="V122" s="4">
        <f t="shared" si="94"/>
        <v>7062.6126192850015</v>
      </c>
      <c r="W122" s="97">
        <f t="shared" si="122"/>
        <v>0.11778210192971583</v>
      </c>
      <c r="X122" s="97">
        <f t="shared" si="104"/>
        <v>0.11019189244275518</v>
      </c>
      <c r="Y122" s="4">
        <v>553.42737702299996</v>
      </c>
      <c r="Z122" s="4">
        <f t="shared" si="95"/>
        <v>6773.8056031610013</v>
      </c>
      <c r="AA122" s="97">
        <f t="shared" si="123"/>
        <v>-1.283982246513482E-2</v>
      </c>
      <c r="AB122" s="97">
        <f t="shared" si="105"/>
        <v>-9.573759002898441E-2</v>
      </c>
      <c r="AC122" s="4">
        <v>245.63749281900002</v>
      </c>
      <c r="AD122" s="4">
        <f t="shared" si="70"/>
        <v>0.16678770250795649</v>
      </c>
      <c r="AE122" s="4">
        <v>220.15849106799999</v>
      </c>
      <c r="AF122" s="4">
        <f t="shared" si="71"/>
        <v>0.14948747640860921</v>
      </c>
      <c r="AG122" s="4">
        <v>364.97008287599988</v>
      </c>
      <c r="AH122" s="4">
        <f t="shared" si="72"/>
        <v>82.533370040263193</v>
      </c>
      <c r="AI122" s="4">
        <v>197.28119870199998</v>
      </c>
      <c r="AJ122" s="4">
        <f t="shared" si="73"/>
        <v>28.373033131201943</v>
      </c>
      <c r="AK122" s="101">
        <f>SUMIFS($AJ$3:$AJ122,$D$3:$D122,D122)</f>
        <v>332.20591371124817</v>
      </c>
      <c r="AL122" s="4">
        <v>54.11499997</v>
      </c>
      <c r="AM122" s="4">
        <f t="shared" si="74"/>
        <v>7.7828333219076109</v>
      </c>
      <c r="AN122" s="101">
        <f>SUMIFS($AM$3:$AM122,$D$3:$D122,D122)</f>
        <v>39.89557236057464</v>
      </c>
      <c r="AO122" s="4">
        <f t="shared" si="87"/>
        <v>113.5738842039999</v>
      </c>
      <c r="AP122" s="56">
        <v>2844.9283115110002</v>
      </c>
      <c r="AQ122" s="4">
        <f t="shared" si="75"/>
        <v>1.9317045269892821</v>
      </c>
      <c r="AR122" s="4">
        <f>SUMIFS($AP$3:$AP122,$D$3:$D122,D122)</f>
        <v>19569.132466353003</v>
      </c>
      <c r="AS122" s="4">
        <f t="shared" si="96"/>
        <v>19569.132466353003</v>
      </c>
      <c r="AT122" s="97">
        <f t="shared" si="106"/>
        <v>1.5991146322164029E-2</v>
      </c>
      <c r="AU122" s="97">
        <f t="shared" si="107"/>
        <v>0.26569040236543473</v>
      </c>
      <c r="AV122" s="98">
        <f t="shared" si="118"/>
        <v>0.26569040236543473</v>
      </c>
      <c r="AW122" s="4">
        <v>1599.2888208320001</v>
      </c>
      <c r="AX122" s="4">
        <f>SUMIFS($AW$3:$AW122,$D$3:$D122,D122)</f>
        <v>10270.608475644</v>
      </c>
      <c r="AY122" s="4">
        <f t="shared" si="97"/>
        <v>10270.608475644</v>
      </c>
      <c r="AZ122" s="97">
        <f t="shared" si="108"/>
        <v>0.26125551893763155</v>
      </c>
      <c r="BA122" s="97">
        <f t="shared" si="109"/>
        <v>0.29752721224218215</v>
      </c>
      <c r="BB122" s="97">
        <f t="shared" si="124"/>
        <v>0.29752721224218215</v>
      </c>
      <c r="BC122" s="4">
        <v>547.92824727200002</v>
      </c>
      <c r="BD122" s="4">
        <f t="shared" si="88"/>
        <v>1051.3605735599999</v>
      </c>
      <c r="BE122" s="4">
        <v>264.58728241699998</v>
      </c>
      <c r="BF122" s="4">
        <v>24.541663769000003</v>
      </c>
      <c r="BG122" s="4">
        <f t="shared" si="76"/>
        <v>3.5295884442818739</v>
      </c>
      <c r="BH122" s="4">
        <f>Datos1[[#This Row],[Intereses]]/Datos1[[#This Row],[PIB nominal (miles de millones de G.)]]*100</f>
        <v>1.6663774201483197E-2</v>
      </c>
      <c r="BI122" s="4">
        <v>466.04882959400004</v>
      </c>
      <c r="BJ122" s="4">
        <v>325.91102592900006</v>
      </c>
      <c r="BK122" s="4">
        <v>164.55068897000001</v>
      </c>
      <c r="BL122" s="56">
        <f t="shared" si="126"/>
        <v>-988.87738257000024</v>
      </c>
      <c r="BM122" s="56">
        <f>SUMIFS($BL$3:$BL122,$D$3:$D122,D122)</f>
        <v>1067.7191079510001</v>
      </c>
      <c r="BN122" s="56">
        <f t="shared" si="128"/>
        <v>1067.7191079510001</v>
      </c>
      <c r="BO122" s="100">
        <f t="shared" si="110"/>
        <v>4.5543289341631432E-2</v>
      </c>
      <c r="BP122" s="100">
        <f t="shared" si="111"/>
        <v>-0.69563342111023885</v>
      </c>
      <c r="BQ122" s="100">
        <f t="shared" si="119"/>
        <v>-0.69563342111023885</v>
      </c>
      <c r="BR122" s="2">
        <f t="shared" si="78"/>
        <v>-0.6714471183047932</v>
      </c>
      <c r="BS122" s="2">
        <f>+Datos1[[#This Row],[RON acumulado 12 meses]]/Datos1[[#This Row],[PIB nominal (miles de millones de G.)]]*100</f>
        <v>0.72498060005120457</v>
      </c>
      <c r="BT122" s="56">
        <v>680.88847224800008</v>
      </c>
      <c r="BU122" s="56">
        <f>SUMIFS($BT$3:$BT122,$D$3:$D122,D122)</f>
        <v>2881.9323231100002</v>
      </c>
      <c r="BV122" s="56">
        <f t="shared" si="98"/>
        <v>2881.9323231100002</v>
      </c>
      <c r="BW122" s="100">
        <f t="shared" si="112"/>
        <v>-7.5680207236657027E-2</v>
      </c>
      <c r="BX122" s="100">
        <f t="shared" si="113"/>
        <v>0.17440335016972286</v>
      </c>
      <c r="BY122" s="100">
        <f t="shared" si="120"/>
        <v>0.17440335016972286</v>
      </c>
      <c r="BZ122" s="56">
        <f t="shared" si="79"/>
        <v>97.925556560145381</v>
      </c>
      <c r="CA122" s="56">
        <f>Datos1[[#This Row],[Adquisición Neta de Activos no Financieros]]/Datos1[[#This Row],[PIB nominal (miles de millones de G.)]]*100</f>
        <v>0.46232284268622159</v>
      </c>
      <c r="CB122" s="56">
        <f>+Datos1[[#This Row],[ANANF acumulado por año]]/Datos1[[#This Row],[PIB nominal (miles de millones de G.)]]*100</f>
        <v>1.9568302274975624</v>
      </c>
      <c r="CC122" s="56">
        <f>+Datos1[[#This Row],[ANANF acumulado 12 meses]]/Datos1[[#This Row],[PIB nominal (miles de millones de G.)]]*100</f>
        <v>1.9568302274975624</v>
      </c>
      <c r="CD122" s="4">
        <v>232.79847300799997</v>
      </c>
      <c r="CE122" s="4">
        <f t="shared" si="80"/>
        <v>33.48113672771516</v>
      </c>
      <c r="CF122" s="4">
        <f t="shared" si="81"/>
        <v>448.08999924000011</v>
      </c>
      <c r="CG122" s="4">
        <f t="shared" si="82"/>
        <v>64.444419832430228</v>
      </c>
      <c r="CH122" s="56">
        <f t="shared" si="83"/>
        <v>-1669.7658548180002</v>
      </c>
      <c r="CI122" s="56">
        <f>SUMIFS($CH$3:$CH122,$D$3:$D122,D122)</f>
        <v>-1814.2132151589999</v>
      </c>
      <c r="CJ122" s="56">
        <f t="shared" si="129"/>
        <v>-1814.2132151589999</v>
      </c>
      <c r="CK122" s="56">
        <f>Datos1[[#This Row],[Resultado Fiscal (miles de millones de G.)]]*1000/$F$207</f>
        <v>-240.14615803133074</v>
      </c>
      <c r="CL122" s="56">
        <f t="shared" si="99"/>
        <v>-260.92061483529938</v>
      </c>
      <c r="CM122" s="100">
        <f t="shared" si="114"/>
        <v>-7.5330558728732289E-3</v>
      </c>
      <c r="CN122" s="100">
        <f t="shared" si="115"/>
        <v>-2.7211843552441817</v>
      </c>
      <c r="CO122" s="100">
        <f t="shared" si="121"/>
        <v>-2.7211843552441817</v>
      </c>
      <c r="CP122" s="4">
        <f t="shared" si="84"/>
        <v>-1.1337699609910146</v>
      </c>
      <c r="CQ122" s="4">
        <f t="shared" si="130"/>
        <v>-1.2318496274463577</v>
      </c>
      <c r="CR122" s="73">
        <v>1734.8742880130001</v>
      </c>
      <c r="CS122" s="113">
        <f>SUM(Datos1[[#This Row],[FFPP]:[MTESS]])</f>
        <v>0</v>
      </c>
      <c r="CT122" s="113"/>
      <c r="CU122" s="113"/>
      <c r="CV122" s="113"/>
      <c r="CW122" s="113"/>
      <c r="CX122" s="113"/>
      <c r="CY122" s="113"/>
      <c r="CZ122" s="113"/>
    </row>
    <row r="123" spans="1:104">
      <c r="A123">
        <v>121</v>
      </c>
      <c r="B123" s="3">
        <v>41275</v>
      </c>
      <c r="C123" s="14" t="str">
        <f t="shared" si="66"/>
        <v>Enero</v>
      </c>
      <c r="D123" s="14">
        <f t="shared" si="85"/>
        <v>2013</v>
      </c>
      <c r="E123" s="15">
        <f t="shared" si="67"/>
        <v>166714.58687094846</v>
      </c>
      <c r="F123" s="15">
        <f t="shared" si="125"/>
        <v>4303.8810946113945</v>
      </c>
      <c r="G123" s="56">
        <v>1764.9782131279999</v>
      </c>
      <c r="H123" s="4">
        <f t="shared" si="86"/>
        <v>1.0586825341769559</v>
      </c>
      <c r="I123" s="4">
        <f>SUMIFS($G$3:$G123,$D$3:$D123,D123)</f>
        <v>1764.9782131279999</v>
      </c>
      <c r="J123" s="2">
        <f t="shared" si="93"/>
        <v>20872.90247669</v>
      </c>
      <c r="K123" s="95">
        <f t="shared" si="100"/>
        <v>0.1543898789220024</v>
      </c>
      <c r="L123" s="95">
        <f t="shared" si="101"/>
        <v>0.1543898789220024</v>
      </c>
      <c r="M123" s="95">
        <f t="shared" si="116"/>
        <v>8.4160043500356663E-2</v>
      </c>
      <c r="N123" s="4">
        <v>1146.5381812419998</v>
      </c>
      <c r="O123" s="4">
        <f t="shared" si="69"/>
        <v>0.68772517316047443</v>
      </c>
      <c r="P123" s="4">
        <f>SUMIFS($N$3:$N123,$D$3:$D123,D123)</f>
        <v>1146.5381812419998</v>
      </c>
      <c r="Q123" s="4">
        <f t="shared" si="127"/>
        <v>14024.530494187002</v>
      </c>
      <c r="R123" s="97">
        <f t="shared" si="102"/>
        <v>0.15507249117259514</v>
      </c>
      <c r="S123" s="97">
        <f t="shared" si="103"/>
        <v>0.15507249117259514</v>
      </c>
      <c r="T123" s="97">
        <f t="shared" si="117"/>
        <v>5.7264008279076517E-2</v>
      </c>
      <c r="U123" s="4">
        <v>555.26729152341682</v>
      </c>
      <c r="V123" s="4">
        <f t="shared" si="94"/>
        <v>7133.0356241657601</v>
      </c>
      <c r="W123" s="97">
        <f t="shared" si="122"/>
        <v>0.12009945995168136</v>
      </c>
      <c r="X123" s="97">
        <f t="shared" si="104"/>
        <v>0.14524870524598299</v>
      </c>
      <c r="Y123" s="4">
        <v>552.45265425000002</v>
      </c>
      <c r="Z123" s="4">
        <f t="shared" si="95"/>
        <v>6813.153995312</v>
      </c>
      <c r="AA123" s="97">
        <f t="shared" si="123"/>
        <v>-8.4485187255619598E-3</v>
      </c>
      <c r="AB123" s="97">
        <f t="shared" si="105"/>
        <v>7.6686932963749177E-2</v>
      </c>
      <c r="AC123" s="4">
        <v>133.96351113699998</v>
      </c>
      <c r="AD123" s="4">
        <f t="shared" si="70"/>
        <v>8.0355002913271981E-2</v>
      </c>
      <c r="AE123" s="4">
        <v>52.117725491000002</v>
      </c>
      <c r="AF123" s="4">
        <f t="shared" si="71"/>
        <v>3.1261646907564028E-2</v>
      </c>
      <c r="AG123" s="4">
        <v>432.35879525799999</v>
      </c>
      <c r="AH123" s="4">
        <f t="shared" si="72"/>
        <v>100.45788574394582</v>
      </c>
      <c r="AI123" s="4">
        <v>273.39696908600001</v>
      </c>
      <c r="AJ123" s="4">
        <f t="shared" si="73"/>
        <v>39.320022956493887</v>
      </c>
      <c r="AK123" s="101">
        <f>SUMIFS($AJ$3:$AJ123,$D$3:$D123,D123)</f>
        <v>39.320022956493887</v>
      </c>
      <c r="AL123" s="4">
        <v>109.384</v>
      </c>
      <c r="AM123" s="4">
        <f t="shared" si="74"/>
        <v>15.73163523155301</v>
      </c>
      <c r="AN123" s="101">
        <f>SUMIFS($AM$3:$AM123,$D$3:$D123,D123)</f>
        <v>15.73163523155301</v>
      </c>
      <c r="AO123" s="4">
        <f t="shared" si="87"/>
        <v>49.577826171999973</v>
      </c>
      <c r="AP123" s="56">
        <v>1662.4010929680003</v>
      </c>
      <c r="AQ123" s="4">
        <f t="shared" si="75"/>
        <v>0.99715395285407316</v>
      </c>
      <c r="AR123" s="4">
        <f>SUMIFS($AP$3:$AP123,$D$3:$D123,D123)</f>
        <v>1662.4010929680003</v>
      </c>
      <c r="AS123" s="4">
        <f t="shared" si="96"/>
        <v>20285.979774953001</v>
      </c>
      <c r="AT123" s="97">
        <f t="shared" si="106"/>
        <v>0.75812430815782172</v>
      </c>
      <c r="AU123" s="97">
        <f t="shared" si="107"/>
        <v>0.75812430815782172</v>
      </c>
      <c r="AV123" s="98">
        <f t="shared" ref="AV123:AV154" si="131">IFERROR(AS123/AS111-1,0)</f>
        <v>0.29479381009975536</v>
      </c>
      <c r="AW123" s="4">
        <v>805.2001420150001</v>
      </c>
      <c r="AX123" s="4">
        <f>SUMIFS($AW$3:$AW123,$D$3:$D123,D123)</f>
        <v>805.2001420150001</v>
      </c>
      <c r="AY123" s="4">
        <f t="shared" si="97"/>
        <v>10405.585647221</v>
      </c>
      <c r="AZ123" s="97">
        <f t="shared" si="108"/>
        <v>0.20139144363970507</v>
      </c>
      <c r="BA123" s="97">
        <f t="shared" si="109"/>
        <v>0.20139144363970507</v>
      </c>
      <c r="BB123" s="97">
        <f t="shared" si="124"/>
        <v>0.28866610272988869</v>
      </c>
      <c r="BC123" s="4">
        <v>567.69817493699998</v>
      </c>
      <c r="BD123" s="4">
        <f t="shared" si="88"/>
        <v>237.50196707800012</v>
      </c>
      <c r="BE123" s="4">
        <v>78.322411850999998</v>
      </c>
      <c r="BF123" s="4">
        <v>19.780640078000001</v>
      </c>
      <c r="BG123" s="4">
        <f t="shared" si="76"/>
        <v>2.8448567830188538</v>
      </c>
      <c r="BH123" s="4">
        <f>Datos1[[#This Row],[Intereses]]/Datos1[[#This Row],[PIB nominal (miles de millones de G.)]]*100</f>
        <v>1.1864972615330852E-2</v>
      </c>
      <c r="BI123" s="4">
        <v>437.68385763300012</v>
      </c>
      <c r="BJ123" s="4">
        <v>263.33559034199999</v>
      </c>
      <c r="BK123" s="4">
        <v>58.078451048999995</v>
      </c>
      <c r="BL123" s="56">
        <f t="shared" si="126"/>
        <v>102.57712015999959</v>
      </c>
      <c r="BM123" s="56">
        <f>SUMIFS($BL$3:$BL123,$D$3:$D123,D123)</f>
        <v>102.57712015999959</v>
      </c>
      <c r="BN123" s="56">
        <f t="shared" si="128"/>
        <v>586.92270173699944</v>
      </c>
      <c r="BO123" s="100">
        <f t="shared" si="110"/>
        <v>-0.82416562369983593</v>
      </c>
      <c r="BP123" s="100">
        <f t="shared" si="111"/>
        <v>-0.82416562369983593</v>
      </c>
      <c r="BQ123" s="100">
        <f t="shared" si="119"/>
        <v>-0.83629558308881269</v>
      </c>
      <c r="BR123" s="2">
        <f t="shared" si="78"/>
        <v>6.1528581322882782E-2</v>
      </c>
      <c r="BS123" s="2">
        <f>+Datos1[[#This Row],[RON acumulado 12 meses]]/Datos1[[#This Row],[PIB nominal (miles de millones de G.)]]*100</f>
        <v>0.35205239850507408</v>
      </c>
      <c r="BT123" s="56">
        <v>278.946520013</v>
      </c>
      <c r="BU123" s="56">
        <f>SUMIFS($BT$3:$BT123,$D$3:$D123,D123)</f>
        <v>278.946520013</v>
      </c>
      <c r="BV123" s="56">
        <f t="shared" si="98"/>
        <v>3132.888881156</v>
      </c>
      <c r="BW123" s="100">
        <f t="shared" si="112"/>
        <v>8.9659485190396584</v>
      </c>
      <c r="BX123" s="100">
        <f t="shared" si="113"/>
        <v>8.9659485190396584</v>
      </c>
      <c r="BY123" s="100">
        <f t="shared" si="120"/>
        <v>0.28242323221235277</v>
      </c>
      <c r="BZ123" s="56">
        <f t="shared" si="79"/>
        <v>40.118160809219063</v>
      </c>
      <c r="CA123" s="56">
        <f>Datos1[[#This Row],[Adquisición Neta de Activos no Financieros]]/Datos1[[#This Row],[PIB nominal (miles de millones de G.)]]*100</f>
        <v>0.16731980401266794</v>
      </c>
      <c r="CB123" s="56">
        <f>+Datos1[[#This Row],[ANANF acumulado por año]]/Datos1[[#This Row],[PIB nominal (miles de millones de G.)]]*100</f>
        <v>0.16731980401266794</v>
      </c>
      <c r="CC123" s="56">
        <f>+Datos1[[#This Row],[ANANF acumulado 12 meses]]/Datos1[[#This Row],[PIB nominal (miles de millones de G.)]]*100</f>
        <v>1.8791930208129464</v>
      </c>
      <c r="CD123" s="4">
        <v>187.27544246599999</v>
      </c>
      <c r="CE123" s="4">
        <f t="shared" si="80"/>
        <v>26.934002675919732</v>
      </c>
      <c r="CF123" s="4">
        <f t="shared" si="81"/>
        <v>91.67107754700001</v>
      </c>
      <c r="CG123" s="4">
        <f t="shared" si="82"/>
        <v>13.184158133299325</v>
      </c>
      <c r="CH123" s="56">
        <f t="shared" si="83"/>
        <v>-176.3693998530004</v>
      </c>
      <c r="CI123" s="56">
        <f>SUMIFS($CH$3:$CH123,$D$3:$D123,D123)</f>
        <v>-176.3693998530004</v>
      </c>
      <c r="CJ123" s="56">
        <f t="shared" si="129"/>
        <v>-2545.9661794190001</v>
      </c>
      <c r="CK123" s="56">
        <f>Datos1[[#This Row],[Resultado Fiscal (miles de millones de G.)]]*1000/$F$207</f>
        <v>-25.365492800549635</v>
      </c>
      <c r="CL123" s="56">
        <f t="shared" si="99"/>
        <v>-366.16151582032438</v>
      </c>
      <c r="CM123" s="100">
        <f t="shared" si="114"/>
        <v>-1.3175632322524982</v>
      </c>
      <c r="CN123" s="100">
        <f t="shared" si="115"/>
        <v>-1.3175632322524982</v>
      </c>
      <c r="CO123" s="100">
        <f t="shared" si="121"/>
        <v>-3.228779195480223</v>
      </c>
      <c r="CP123" s="4">
        <f t="shared" si="84"/>
        <v>-0.10579122268978515</v>
      </c>
      <c r="CQ123" s="4">
        <f t="shared" si="130"/>
        <v>-1.5271406223078721</v>
      </c>
      <c r="CR123" s="73">
        <v>896.14914444199997</v>
      </c>
      <c r="CS123" s="113">
        <f>SUM(Datos1[[#This Row],[FFPP]:[MTESS]])</f>
        <v>0</v>
      </c>
      <c r="CT123" s="113"/>
      <c r="CU123" s="113"/>
      <c r="CV123" s="113"/>
      <c r="CW123" s="113"/>
      <c r="CX123" s="113"/>
      <c r="CY123" s="113"/>
      <c r="CZ123" s="113"/>
    </row>
    <row r="124" spans="1:104">
      <c r="A124">
        <v>122</v>
      </c>
      <c r="B124" s="76">
        <v>41306</v>
      </c>
      <c r="C124" s="14" t="str">
        <f t="shared" si="66"/>
        <v>Febrero</v>
      </c>
      <c r="D124" s="14">
        <f t="shared" si="85"/>
        <v>2013</v>
      </c>
      <c r="E124" s="15">
        <f t="shared" si="67"/>
        <v>166714.58687094846</v>
      </c>
      <c r="F124" s="15">
        <f t="shared" si="125"/>
        <v>4303.8810946113945</v>
      </c>
      <c r="G124" s="56">
        <v>1463.494532426</v>
      </c>
      <c r="H124" s="4">
        <f t="shared" si="86"/>
        <v>0.87784432058058104</v>
      </c>
      <c r="I124" s="4">
        <f>SUMIFS($G$3:$G124,$D$3:$D124,D124)</f>
        <v>3228.4727455539996</v>
      </c>
      <c r="J124" s="2">
        <f t="shared" si="93"/>
        <v>20917.527249460003</v>
      </c>
      <c r="K124" s="95">
        <f t="shared" si="100"/>
        <v>9.5215399314479976E-2</v>
      </c>
      <c r="L124" s="95">
        <f t="shared" si="101"/>
        <v>3.1450929492512936E-2</v>
      </c>
      <c r="M124" s="95">
        <f t="shared" si="116"/>
        <v>8.8657849770262587E-2</v>
      </c>
      <c r="N124" s="4">
        <v>888.26109346099997</v>
      </c>
      <c r="O124" s="4">
        <f t="shared" si="69"/>
        <v>0.53280346377164411</v>
      </c>
      <c r="P124" s="4">
        <f>SUMIFS($N$3:$N124,$D$3:$D124,D124)</f>
        <v>2034.7992747029998</v>
      </c>
      <c r="Q124" s="4">
        <f t="shared" si="127"/>
        <v>14028.101353894002</v>
      </c>
      <c r="R124" s="97">
        <f t="shared" si="102"/>
        <v>4.0362824983923851E-3</v>
      </c>
      <c r="S124" s="97">
        <f t="shared" si="103"/>
        <v>8.3895727279665877E-2</v>
      </c>
      <c r="T124" s="97">
        <f t="shared" si="117"/>
        <v>5.0374411756282766E-2</v>
      </c>
      <c r="U124" s="4">
        <v>426.6268361324166</v>
      </c>
      <c r="V124" s="4">
        <f t="shared" si="94"/>
        <v>7193.2346844895173</v>
      </c>
      <c r="W124" s="97">
        <f t="shared" si="122"/>
        <v>0.12351945978111978</v>
      </c>
      <c r="X124" s="97">
        <f t="shared" si="104"/>
        <v>0.16428629131868222</v>
      </c>
      <c r="Y124" s="4">
        <v>494.65823787200014</v>
      </c>
      <c r="Z124" s="4">
        <f t="shared" si="95"/>
        <v>6815.0327188280007</v>
      </c>
      <c r="AA124" s="97">
        <f t="shared" si="123"/>
        <v>-3.0044876283338295E-3</v>
      </c>
      <c r="AB124" s="97">
        <f t="shared" si="105"/>
        <v>3.8125032824374294E-3</v>
      </c>
      <c r="AC124" s="4">
        <v>189.82764270800001</v>
      </c>
      <c r="AD124" s="4">
        <f t="shared" si="70"/>
        <v>0.11386384735184753</v>
      </c>
      <c r="AE124" s="4">
        <v>56.362850345000005</v>
      </c>
      <c r="AF124" s="4">
        <f t="shared" si="71"/>
        <v>3.3807989692365509E-2</v>
      </c>
      <c r="AG124" s="4">
        <v>329.04294591199999</v>
      </c>
      <c r="AH124" s="4">
        <f t="shared" si="72"/>
        <v>76.452610720117931</v>
      </c>
      <c r="AI124" s="4">
        <v>185.15740321999999</v>
      </c>
      <c r="AJ124" s="4">
        <f t="shared" si="73"/>
        <v>26.62938572257934</v>
      </c>
      <c r="AK124" s="101">
        <f>SUMIFS($AJ$3:$AJ124,$D$3:$D124,D124)</f>
        <v>65.94940867907323</v>
      </c>
      <c r="AL124" s="4">
        <v>82.38</v>
      </c>
      <c r="AM124" s="4">
        <f t="shared" si="74"/>
        <v>11.84791295230872</v>
      </c>
      <c r="AN124" s="101">
        <f>SUMIFS($AM$3:$AM124,$D$3:$D124,D124)</f>
        <v>27.579548183861732</v>
      </c>
      <c r="AO124" s="4">
        <f t="shared" si="87"/>
        <v>61.505542692000006</v>
      </c>
      <c r="AP124" s="56">
        <v>1720.5790166969996</v>
      </c>
      <c r="AQ124" s="4">
        <f t="shared" si="75"/>
        <v>1.0320506735435675</v>
      </c>
      <c r="AR124" s="4">
        <f>SUMIFS($AP$3:$AP124,$D$3:$D124,D124)</f>
        <v>3382.9801096649999</v>
      </c>
      <c r="AS124" s="4">
        <f t="shared" si="96"/>
        <v>20617.118183590002</v>
      </c>
      <c r="AT124" s="97">
        <f t="shared" si="106"/>
        <v>0.23832498252613332</v>
      </c>
      <c r="AU124" s="97">
        <f t="shared" si="107"/>
        <v>0.44881723084022984</v>
      </c>
      <c r="AV124" s="98">
        <f t="shared" si="131"/>
        <v>0.28328980820703054</v>
      </c>
      <c r="AW124" s="4">
        <v>877.22726859199975</v>
      </c>
      <c r="AX124" s="4">
        <f>SUMIFS($AW$3:$AW124,$D$3:$D124,D124)</f>
        <v>1682.4274106069997</v>
      </c>
      <c r="AY124" s="4">
        <f t="shared" si="97"/>
        <v>10482.899178182</v>
      </c>
      <c r="AZ124" s="97">
        <f t="shared" si="108"/>
        <v>9.6652335525539534E-2</v>
      </c>
      <c r="BA124" s="97">
        <f t="shared" si="109"/>
        <v>0.14440201470572078</v>
      </c>
      <c r="BB124" s="97">
        <f t="shared" si="124"/>
        <v>0.26840293527390457</v>
      </c>
      <c r="BC124" s="4">
        <v>568.12429426300002</v>
      </c>
      <c r="BD124" s="4">
        <f t="shared" si="88"/>
        <v>309.10297432899972</v>
      </c>
      <c r="BE124" s="4">
        <v>139.78945850699998</v>
      </c>
      <c r="BF124" s="4">
        <v>7.6766350189999999</v>
      </c>
      <c r="BG124" s="4">
        <f t="shared" si="76"/>
        <v>1.1040556381616506</v>
      </c>
      <c r="BH124" s="4">
        <f>Datos1[[#This Row],[Intereses]]/Datos1[[#This Row],[PIB nominal (miles de millones de G.)]]*100</f>
        <v>4.6046570747539815E-3</v>
      </c>
      <c r="BI124" s="4">
        <v>333.17024232999995</v>
      </c>
      <c r="BJ124" s="4">
        <v>244.04133759199996</v>
      </c>
      <c r="BK124" s="4">
        <v>118.67407465700001</v>
      </c>
      <c r="BL124" s="56">
        <f t="shared" si="126"/>
        <v>-257.08448427099961</v>
      </c>
      <c r="BM124" s="56">
        <f>SUMIFS($BL$3:$BL124,$D$3:$D124,D124)</f>
        <v>-154.50736411100002</v>
      </c>
      <c r="BN124" s="56">
        <f t="shared" si="128"/>
        <v>300.40906586999949</v>
      </c>
      <c r="BO124" s="100">
        <f t="shared" si="110"/>
        <v>-9.7357083139950085</v>
      </c>
      <c r="BP124" s="100">
        <f t="shared" si="111"/>
        <v>-1.2521323252418357</v>
      </c>
      <c r="BQ124" s="100">
        <f t="shared" si="119"/>
        <v>-0.90457809250531551</v>
      </c>
      <c r="BR124" s="2">
        <f t="shared" si="78"/>
        <v>-0.15420635296298654</v>
      </c>
      <c r="BS124" s="2">
        <f>+Datos1[[#This Row],[RON acumulado 12 meses]]/Datos1[[#This Row],[PIB nominal (miles de millones de G.)]]*100</f>
        <v>0.1801936300286322</v>
      </c>
      <c r="BT124" s="56">
        <v>144.478443113</v>
      </c>
      <c r="BU124" s="56">
        <f>SUMIFS($BT$3:$BT124,$D$3:$D124,D124)</f>
        <v>423.42496312599997</v>
      </c>
      <c r="BV124" s="56">
        <f t="shared" si="98"/>
        <v>3219.7545021340002</v>
      </c>
      <c r="BW124" s="100">
        <f t="shared" si="112"/>
        <v>1.5077480629998301</v>
      </c>
      <c r="BX124" s="100">
        <f t="shared" si="113"/>
        <v>3.9463924283288252</v>
      </c>
      <c r="BY124" s="100">
        <f t="shared" si="120"/>
        <v>0.33487129510833724</v>
      </c>
      <c r="BZ124" s="56">
        <f t="shared" si="79"/>
        <v>20.77892713629414</v>
      </c>
      <c r="CA124" s="56">
        <f>Datos1[[#This Row],[Adquisición Neta de Activos no Financieros]]/Datos1[[#This Row],[PIB nominal (miles de millones de G.)]]*100</f>
        <v>8.6662148660596114E-2</v>
      </c>
      <c r="CB124" s="56">
        <f>+Datos1[[#This Row],[ANANF acumulado por año]]/Datos1[[#This Row],[PIB nominal (miles de millones de G.)]]*100</f>
        <v>0.25398195267326401</v>
      </c>
      <c r="CC124" s="56">
        <f>+Datos1[[#This Row],[ANANF acumulado 12 meses]]/Datos1[[#This Row],[PIB nominal (miles de millones de G.)]]*100</f>
        <v>1.9312974122812476</v>
      </c>
      <c r="CD124" s="4">
        <v>92.11894043400001</v>
      </c>
      <c r="CE124" s="4">
        <f t="shared" si="80"/>
        <v>13.248569889790533</v>
      </c>
      <c r="CF124" s="4">
        <f t="shared" si="81"/>
        <v>52.359502678999988</v>
      </c>
      <c r="CG124" s="4">
        <f t="shared" si="82"/>
        <v>7.5303572465036064</v>
      </c>
      <c r="CH124" s="56">
        <f t="shared" si="83"/>
        <v>-401.56292738399964</v>
      </c>
      <c r="CI124" s="56">
        <f>SUMIFS($CH$3:$CH124,$D$3:$D124,D124)</f>
        <v>-577.93232723699998</v>
      </c>
      <c r="CJ124" s="56">
        <f t="shared" si="129"/>
        <v>-2919.345436264</v>
      </c>
      <c r="CK124" s="56">
        <f>Datos1[[#This Row],[Resultado Fiscal (miles de millones de G.)]]*1000/$F$207</f>
        <v>-57.752884298614894</v>
      </c>
      <c r="CL124" s="56">
        <f t="shared" si="99"/>
        <v>-419.86101731701382</v>
      </c>
      <c r="CM124" s="100">
        <f t="shared" si="114"/>
        <v>13.248070592094443</v>
      </c>
      <c r="CN124" s="100">
        <f t="shared" si="115"/>
        <v>-2.0962299764455228</v>
      </c>
      <c r="CO124" s="100">
        <f t="shared" si="121"/>
        <v>-4.9655031746168348</v>
      </c>
      <c r="CP124" s="4">
        <f t="shared" si="84"/>
        <v>-0.24086850162358267</v>
      </c>
      <c r="CQ124" s="4">
        <f t="shared" si="130"/>
        <v>-1.7511037822526148</v>
      </c>
      <c r="CR124" s="73">
        <v>996.62445546200001</v>
      </c>
      <c r="CS124" s="113">
        <f>SUM(Datos1[[#This Row],[FFPP]:[MTESS]])</f>
        <v>0</v>
      </c>
      <c r="CT124" s="113"/>
      <c r="CU124" s="113"/>
      <c r="CV124" s="113"/>
      <c r="CW124" s="113"/>
      <c r="CX124" s="113"/>
      <c r="CY124" s="113"/>
      <c r="CZ124" s="113"/>
    </row>
    <row r="125" spans="1:104">
      <c r="A125">
        <v>123</v>
      </c>
      <c r="B125" s="3">
        <v>41334</v>
      </c>
      <c r="C125" s="14" t="str">
        <f t="shared" si="66"/>
        <v>Marzo</v>
      </c>
      <c r="D125" s="14">
        <f t="shared" si="85"/>
        <v>2013</v>
      </c>
      <c r="E125" s="15">
        <f t="shared" si="67"/>
        <v>166714.58687094846</v>
      </c>
      <c r="F125" s="15">
        <f t="shared" si="125"/>
        <v>4303.8810946113945</v>
      </c>
      <c r="G125" s="56">
        <v>1597.124216744</v>
      </c>
      <c r="H125" s="4">
        <f t="shared" si="86"/>
        <v>0.9579990849752773</v>
      </c>
      <c r="I125" s="4">
        <f>SUMIFS($G$3:$G125,$D$3:$D125,D125)</f>
        <v>4825.5969622979992</v>
      </c>
      <c r="J125" s="2">
        <f t="shared" si="93"/>
        <v>20922.714401167999</v>
      </c>
      <c r="K125" s="95">
        <f t="shared" si="100"/>
        <v>6.2969067865175976E-2</v>
      </c>
      <c r="L125" s="95">
        <f t="shared" si="101"/>
        <v>3.2583899338274325E-3</v>
      </c>
      <c r="M125" s="95">
        <f t="shared" si="116"/>
        <v>7.7193161221735807E-2</v>
      </c>
      <c r="N125" s="4">
        <v>935.33965503699994</v>
      </c>
      <c r="O125" s="4">
        <f t="shared" si="69"/>
        <v>0.56104248140028312</v>
      </c>
      <c r="P125" s="4">
        <f>SUMIFS($N$3:$N125,$D$3:$D125,D125)</f>
        <v>2970.1389297399996</v>
      </c>
      <c r="Q125" s="4">
        <f t="shared" si="127"/>
        <v>14011.605579865001</v>
      </c>
      <c r="R125" s="97">
        <f t="shared" si="102"/>
        <v>-1.7330489625907997E-2</v>
      </c>
      <c r="S125" s="97">
        <f t="shared" si="103"/>
        <v>4.9839159594347704E-2</v>
      </c>
      <c r="T125" s="97">
        <f t="shared" si="117"/>
        <v>5.4612744702471128E-2</v>
      </c>
      <c r="U125" s="4">
        <v>458.56282844441677</v>
      </c>
      <c r="V125" s="4">
        <f t="shared" si="94"/>
        <v>7213.6069913032761</v>
      </c>
      <c r="W125" s="97">
        <f t="shared" si="122"/>
        <v>0.1194203788737942</v>
      </c>
      <c r="X125" s="97">
        <f t="shared" si="104"/>
        <v>4.6491892928094414E-2</v>
      </c>
      <c r="Y125" s="4">
        <v>495.92030055999993</v>
      </c>
      <c r="Z125" s="4">
        <f t="shared" si="95"/>
        <v>6759.9809878280003</v>
      </c>
      <c r="AA125" s="97">
        <f t="shared" si="123"/>
        <v>-7.4813447772380526E-3</v>
      </c>
      <c r="AB125" s="97">
        <f t="shared" si="105"/>
        <v>-9.9917469211874166E-2</v>
      </c>
      <c r="AC125" s="4">
        <v>156.58436292399998</v>
      </c>
      <c r="AD125" s="4">
        <f t="shared" si="70"/>
        <v>9.3923612722148803E-2</v>
      </c>
      <c r="AE125" s="4">
        <v>168.27348580500001</v>
      </c>
      <c r="AF125" s="4">
        <f t="shared" si="71"/>
        <v>0.10093507050781242</v>
      </c>
      <c r="AG125" s="4">
        <v>336.92671297800001</v>
      </c>
      <c r="AH125" s="4">
        <f t="shared" si="72"/>
        <v>78.284391592473057</v>
      </c>
      <c r="AI125" s="4">
        <v>213.81511933999997</v>
      </c>
      <c r="AJ125" s="4">
        <f t="shared" si="73"/>
        <v>30.750945882833459</v>
      </c>
      <c r="AK125" s="101">
        <f>SUMIFS($AJ$3:$AJ125,$D$3:$D125,D125)</f>
        <v>96.700354561906693</v>
      </c>
      <c r="AL125" s="4">
        <v>59.645000000000003</v>
      </c>
      <c r="AM125" s="4">
        <f t="shared" si="74"/>
        <v>8.5781593595587964</v>
      </c>
      <c r="AN125" s="101">
        <f>SUMIFS($AM$3:$AM125,$D$3:$D125,D125)</f>
        <v>36.157707543420528</v>
      </c>
      <c r="AO125" s="4">
        <f t="shared" si="87"/>
        <v>63.466593638000042</v>
      </c>
      <c r="AP125" s="56">
        <v>1597.9308943659996</v>
      </c>
      <c r="AQ125" s="4">
        <f t="shared" si="75"/>
        <v>0.95848295242631443</v>
      </c>
      <c r="AR125" s="4">
        <f>SUMIFS($AP$3:$AP125,$D$3:$D125,D125)</f>
        <v>4980.9110040309997</v>
      </c>
      <c r="AS125" s="4">
        <f t="shared" si="96"/>
        <v>20600.897501082</v>
      </c>
      <c r="AT125" s="97">
        <f t="shared" si="106"/>
        <v>-1.0049045418283331E-2</v>
      </c>
      <c r="AU125" s="97">
        <f t="shared" si="107"/>
        <v>0.26126282562084202</v>
      </c>
      <c r="AV125" s="98">
        <f t="shared" si="131"/>
        <v>0.25390471684857574</v>
      </c>
      <c r="AW125" s="4">
        <v>883.37114976499959</v>
      </c>
      <c r="AX125" s="4">
        <f>SUMIFS($AW$3:$AW125,$D$3:$D125,D125)</f>
        <v>2565.7985603719994</v>
      </c>
      <c r="AY125" s="4">
        <f t="shared" si="97"/>
        <v>10549.303099045999</v>
      </c>
      <c r="AZ125" s="97">
        <f t="shared" si="108"/>
        <v>8.1281009219093869E-2</v>
      </c>
      <c r="BA125" s="97">
        <f t="shared" si="109"/>
        <v>0.12185481337206738</v>
      </c>
      <c r="BB125" s="97">
        <f t="shared" si="124"/>
        <v>0.24535103393761593</v>
      </c>
      <c r="BC125" s="4">
        <v>575.39230944099995</v>
      </c>
      <c r="BD125" s="4">
        <f t="shared" si="88"/>
        <v>307.97884032399963</v>
      </c>
      <c r="BE125" s="4">
        <v>116.24090766800002</v>
      </c>
      <c r="BF125" s="4">
        <v>62.770817612999991</v>
      </c>
      <c r="BG125" s="4">
        <f t="shared" si="76"/>
        <v>9.0277152588500957</v>
      </c>
      <c r="BH125" s="4">
        <f>Datos1[[#This Row],[Intereses]]/Datos1[[#This Row],[PIB nominal (miles de millones de G.)]]*100</f>
        <v>3.765166491495435E-2</v>
      </c>
      <c r="BI125" s="4">
        <v>321.45089283700003</v>
      </c>
      <c r="BJ125" s="4">
        <v>189.52938563499998</v>
      </c>
      <c r="BK125" s="4">
        <v>24.567740848</v>
      </c>
      <c r="BL125" s="56">
        <f t="shared" si="126"/>
        <v>-0.80667762199959725</v>
      </c>
      <c r="BM125" s="56">
        <f>SUMIFS($BL$3:$BL125,$D$3:$D125,D125)</f>
        <v>-155.31404173299961</v>
      </c>
      <c r="BN125" s="56">
        <f t="shared" si="128"/>
        <v>321.81690008600003</v>
      </c>
      <c r="BO125" s="100">
        <f t="shared" si="110"/>
        <v>-0.96368690755474107</v>
      </c>
      <c r="BP125" s="100">
        <f t="shared" si="111"/>
        <v>-1.2629819739704808</v>
      </c>
      <c r="BQ125" s="100">
        <f t="shared" si="119"/>
        <v>-0.89251155064188992</v>
      </c>
      <c r="BR125" s="2">
        <f t="shared" si="78"/>
        <v>-4.8386745103716424E-4</v>
      </c>
      <c r="BS125" s="2">
        <f>+Datos1[[#This Row],[RON acumulado 12 meses]]/Datos1[[#This Row],[PIB nominal (miles de millones de G.)]]*100</f>
        <v>0.19303463849573893</v>
      </c>
      <c r="BT125" s="56">
        <v>219.56495972499999</v>
      </c>
      <c r="BU125" s="56">
        <f>SUMIFS($BT$3:$BT125,$D$3:$D125,D125)</f>
        <v>642.98992285099996</v>
      </c>
      <c r="BV125" s="56">
        <f t="shared" si="98"/>
        <v>3271.2476302739997</v>
      </c>
      <c r="BW125" s="100">
        <f t="shared" si="112"/>
        <v>0.30637571837228439</v>
      </c>
      <c r="BX125" s="100">
        <f t="shared" si="113"/>
        <v>1.5347034472079857</v>
      </c>
      <c r="BY125" s="100">
        <f t="shared" si="120"/>
        <v>0.34717476113488388</v>
      </c>
      <c r="BZ125" s="56">
        <f t="shared" si="79"/>
        <v>31.577889417321799</v>
      </c>
      <c r="CA125" s="56">
        <f>Datos1[[#This Row],[Adquisición Neta de Activos no Financieros]]/Datos1[[#This Row],[PIB nominal (miles de millones de G.)]]*100</f>
        <v>0.1317011089707239</v>
      </c>
      <c r="CB125" s="56">
        <f>+Datos1[[#This Row],[ANANF acumulado por año]]/Datos1[[#This Row],[PIB nominal (miles de millones de G.)]]*100</f>
        <v>0.38568306164398791</v>
      </c>
      <c r="CC125" s="56">
        <f>+Datos1[[#This Row],[ANANF acumulado 12 meses]]/Datos1[[#This Row],[PIB nominal (miles de millones de G.)]]*100</f>
        <v>1.9621844084982372</v>
      </c>
      <c r="CD125" s="4">
        <v>174.44112775599999</v>
      </c>
      <c r="CE125" s="4">
        <f t="shared" si="80"/>
        <v>25.088168207764653</v>
      </c>
      <c r="CF125" s="4">
        <f t="shared" si="81"/>
        <v>45.123831969000008</v>
      </c>
      <c r="CG125" s="4">
        <f t="shared" si="82"/>
        <v>6.4897212095571435</v>
      </c>
      <c r="CH125" s="56">
        <f t="shared" si="83"/>
        <v>-220.37163734699959</v>
      </c>
      <c r="CI125" s="56">
        <f>SUMIFS($CH$3:$CH125,$D$3:$D125,D125)</f>
        <v>-798.30396458399957</v>
      </c>
      <c r="CJ125" s="56">
        <f t="shared" si="129"/>
        <v>-2949.4307301879994</v>
      </c>
      <c r="CK125" s="56">
        <f>Datos1[[#This Row],[Resultado Fiscal (miles de millones de G.)]]*1000/$F$207</f>
        <v>-31.693906002002873</v>
      </c>
      <c r="CL125" s="56">
        <f t="shared" si="99"/>
        <v>-424.18789208705715</v>
      </c>
      <c r="CM125" s="100">
        <f t="shared" si="114"/>
        <v>0.15810537625982368</v>
      </c>
      <c r="CN125" s="100">
        <f t="shared" si="115"/>
        <v>-3.369462325067035</v>
      </c>
      <c r="CO125" s="100">
        <f t="shared" si="121"/>
        <v>-6.2134109209674531</v>
      </c>
      <c r="CP125" s="4">
        <f t="shared" si="84"/>
        <v>-0.13218497642176105</v>
      </c>
      <c r="CQ125" s="4">
        <f t="shared" si="130"/>
        <v>-1.7691497700024978</v>
      </c>
      <c r="CR125" s="73">
        <v>1032.4313466450001</v>
      </c>
      <c r="CS125" s="113">
        <f>SUM(Datos1[[#This Row],[FFPP]:[MTESS]])</f>
        <v>0</v>
      </c>
      <c r="CT125" s="113"/>
      <c r="CU125" s="113"/>
      <c r="CV125" s="113"/>
      <c r="CW125" s="113"/>
      <c r="CX125" s="113"/>
      <c r="CY125" s="113"/>
      <c r="CZ125" s="113"/>
    </row>
    <row r="126" spans="1:104">
      <c r="A126">
        <v>124</v>
      </c>
      <c r="B126" s="3">
        <v>41365</v>
      </c>
      <c r="C126" s="14" t="str">
        <f t="shared" si="66"/>
        <v>Abril</v>
      </c>
      <c r="D126" s="14">
        <f t="shared" si="85"/>
        <v>2013</v>
      </c>
      <c r="E126" s="15">
        <f t="shared" si="67"/>
        <v>166714.58687094846</v>
      </c>
      <c r="F126" s="15">
        <f t="shared" si="125"/>
        <v>4303.8810946113945</v>
      </c>
      <c r="G126" s="56">
        <v>2003.158739603</v>
      </c>
      <c r="H126" s="4">
        <f t="shared" si="86"/>
        <v>1.2015497726984252</v>
      </c>
      <c r="I126" s="4">
        <f>SUMIFS($G$3:$G126,$D$3:$D126,D126)</f>
        <v>6828.7557019009992</v>
      </c>
      <c r="J126" s="2">
        <f t="shared" si="93"/>
        <v>21216.865033562</v>
      </c>
      <c r="K126" s="95">
        <f t="shared" si="100"/>
        <v>9.2820832854944912E-2</v>
      </c>
      <c r="L126" s="95">
        <f t="shared" si="101"/>
        <v>0.17211775131621865</v>
      </c>
      <c r="M126" s="95">
        <f t="shared" si="116"/>
        <v>8.2579122907821434E-2</v>
      </c>
      <c r="N126" s="4">
        <v>1427.5286041029999</v>
      </c>
      <c r="O126" s="4">
        <f t="shared" si="69"/>
        <v>0.85627096638402167</v>
      </c>
      <c r="P126" s="4">
        <f>SUMIFS($N$3:$N126,$D$3:$D126,D126)</f>
        <v>4397.6675338429995</v>
      </c>
      <c r="Q126" s="4">
        <f t="shared" si="127"/>
        <v>14194.835023471</v>
      </c>
      <c r="R126" s="97">
        <f t="shared" si="102"/>
        <v>0.14725513720736938</v>
      </c>
      <c r="S126" s="97">
        <f t="shared" si="103"/>
        <v>7.9596497381386744E-2</v>
      </c>
      <c r="T126" s="97">
        <f t="shared" si="117"/>
        <v>6.1260684700647827E-2</v>
      </c>
      <c r="U126" s="4">
        <v>809.72403471641667</v>
      </c>
      <c r="V126" s="4">
        <f t="shared" si="94"/>
        <v>7304.5321386620344</v>
      </c>
      <c r="W126" s="97">
        <f t="shared" si="122"/>
        <v>0.1237619335703628</v>
      </c>
      <c r="X126" s="97">
        <f t="shared" si="104"/>
        <v>0.12649594894756166</v>
      </c>
      <c r="Y126" s="4">
        <v>603.8463261830002</v>
      </c>
      <c r="Z126" s="4">
        <f t="shared" si="95"/>
        <v>6843.7848917420006</v>
      </c>
      <c r="AA126" s="97">
        <f t="shared" si="123"/>
        <v>2.6731225714069495E-3</v>
      </c>
      <c r="AB126" s="97">
        <f t="shared" si="105"/>
        <v>0.16114820700271903</v>
      </c>
      <c r="AC126" s="4">
        <v>118.74308818599999</v>
      </c>
      <c r="AD126" s="4">
        <f t="shared" si="70"/>
        <v>7.1225374104737116E-2</v>
      </c>
      <c r="AE126" s="4">
        <v>92.855690964999994</v>
      </c>
      <c r="AF126" s="4">
        <f t="shared" si="71"/>
        <v>5.5697400394170871E-2</v>
      </c>
      <c r="AG126" s="4">
        <v>364.03135634900008</v>
      </c>
      <c r="AH126" s="4">
        <f t="shared" si="72"/>
        <v>84.582112829459831</v>
      </c>
      <c r="AI126" s="4">
        <v>255.32029041799998</v>
      </c>
      <c r="AJ126" s="4">
        <f t="shared" si="73"/>
        <v>36.72023034511588</v>
      </c>
      <c r="AK126" s="101">
        <f>SUMIFS($AJ$3:$AJ126,$D$3:$D126,D126)</f>
        <v>133.42058490702257</v>
      </c>
      <c r="AL126" s="4">
        <v>41.24</v>
      </c>
      <c r="AM126" s="4">
        <f t="shared" si="74"/>
        <v>5.9311474891140037</v>
      </c>
      <c r="AN126" s="101">
        <f>SUMIFS($AM$3:$AM126,$D$3:$D126,D126)</f>
        <v>42.088855032534532</v>
      </c>
      <c r="AO126" s="4">
        <f t="shared" si="87"/>
        <v>67.471065931000084</v>
      </c>
      <c r="AP126" s="56">
        <v>1632.174864822</v>
      </c>
      <c r="AQ126" s="4">
        <f t="shared" si="75"/>
        <v>0.97902342887694926</v>
      </c>
      <c r="AR126" s="4">
        <f>SUMIFS($AP$3:$AP126,$D$3:$D126,D126)</f>
        <v>6613.0858688529997</v>
      </c>
      <c r="AS126" s="4">
        <f t="shared" si="96"/>
        <v>20639.148232508</v>
      </c>
      <c r="AT126" s="97">
        <f t="shared" si="106"/>
        <v>2.3997836926217486E-2</v>
      </c>
      <c r="AU126" s="97">
        <f t="shared" si="107"/>
        <v>0.19303666494028038</v>
      </c>
      <c r="AV126" s="98">
        <f t="shared" si="131"/>
        <v>0.22626709744763018</v>
      </c>
      <c r="AW126" s="4">
        <v>895.13612115199999</v>
      </c>
      <c r="AX126" s="4">
        <f>SUMIFS($AW$3:$AW126,$D$3:$D126,D126)</f>
        <v>3460.9346815239996</v>
      </c>
      <c r="AY126" s="4">
        <f t="shared" si="97"/>
        <v>10676.652101656999</v>
      </c>
      <c r="AZ126" s="97">
        <f t="shared" si="108"/>
        <v>0.16586498983337594</v>
      </c>
      <c r="BA126" s="97">
        <f t="shared" si="109"/>
        <v>0.1329159104644666</v>
      </c>
      <c r="BB126" s="97">
        <f t="shared" si="124"/>
        <v>0.23474742184962016</v>
      </c>
      <c r="BC126" s="4">
        <v>576.19317701299997</v>
      </c>
      <c r="BD126" s="4">
        <f t="shared" si="88"/>
        <v>318.94294413900002</v>
      </c>
      <c r="BE126" s="4">
        <v>162.548078003</v>
      </c>
      <c r="BF126" s="4">
        <v>13.574423742</v>
      </c>
      <c r="BG126" s="4">
        <f t="shared" si="76"/>
        <v>1.9522771409683031</v>
      </c>
      <c r="BH126" s="4">
        <f>Datos1[[#This Row],[Intereses]]/Datos1[[#This Row],[PIB nominal (miles de millones de G.)]]*100</f>
        <v>8.142313157341043E-3</v>
      </c>
      <c r="BI126" s="4">
        <v>262.74505926500001</v>
      </c>
      <c r="BJ126" s="4">
        <v>230.30859748200001</v>
      </c>
      <c r="BK126" s="4">
        <v>67.862585177999989</v>
      </c>
      <c r="BL126" s="56">
        <f t="shared" si="126"/>
        <v>370.98387478099994</v>
      </c>
      <c r="BM126" s="56">
        <f>SUMIFS($BL$3:$BL126,$D$3:$D126,D126)</f>
        <v>215.66983304800033</v>
      </c>
      <c r="BN126" s="56">
        <f t="shared" si="128"/>
        <v>577.71680105400014</v>
      </c>
      <c r="BO126" s="100">
        <f t="shared" si="110"/>
        <v>2.223592846939856</v>
      </c>
      <c r="BP126" s="100">
        <f t="shared" si="111"/>
        <v>-0.69437672136977147</v>
      </c>
      <c r="BQ126" s="100">
        <f t="shared" si="119"/>
        <v>-0.79125469027115747</v>
      </c>
      <c r="BR126" s="2">
        <f t="shared" si="78"/>
        <v>0.2225263438214759</v>
      </c>
      <c r="BS126" s="2">
        <f>+Datos1[[#This Row],[RON acumulado 12 meses]]/Datos1[[#This Row],[PIB nominal (miles de millones de G.)]]*100</f>
        <v>0.34653044577389197</v>
      </c>
      <c r="BT126" s="56">
        <v>164.258968173</v>
      </c>
      <c r="BU126" s="56">
        <f>SUMIFS($BT$3:$BT126,$D$3:$D126,D126)</f>
        <v>807.24889102399993</v>
      </c>
      <c r="BV126" s="56">
        <f t="shared" si="98"/>
        <v>3241.9590886679998</v>
      </c>
      <c r="BW126" s="100">
        <f t="shared" si="112"/>
        <v>-0.15132481755741922</v>
      </c>
      <c r="BX126" s="100">
        <f t="shared" si="113"/>
        <v>0.80502896671951629</v>
      </c>
      <c r="BY126" s="100">
        <f t="shared" si="120"/>
        <v>0.29214694428422749</v>
      </c>
      <c r="BZ126" s="56">
        <f t="shared" si="79"/>
        <v>23.623767377394422</v>
      </c>
      <c r="CA126" s="56">
        <f>Datos1[[#This Row],[Adquisición Neta de Activos no Financieros]]/Datos1[[#This Row],[PIB nominal (miles de millones de G.)]]*100</f>
        <v>9.8527052284963335E-2</v>
      </c>
      <c r="CB126" s="56">
        <f>+Datos1[[#This Row],[ANANF acumulado por año]]/Datos1[[#This Row],[PIB nominal (miles de millones de G.)]]*100</f>
        <v>0.48421011392895119</v>
      </c>
      <c r="CC126" s="56">
        <f>+Datos1[[#This Row],[ANANF acumulado 12 meses]]/Datos1[[#This Row],[PIB nominal (miles de millones de G.)]]*100</f>
        <v>1.9446163347287402</v>
      </c>
      <c r="CD126" s="4">
        <v>84.435197314999996</v>
      </c>
      <c r="CE126" s="4">
        <f t="shared" si="80"/>
        <v>12.143491962844513</v>
      </c>
      <c r="CF126" s="4">
        <f t="shared" si="81"/>
        <v>79.823770858000003</v>
      </c>
      <c r="CG126" s="4">
        <f t="shared" si="82"/>
        <v>11.48027541454991</v>
      </c>
      <c r="CH126" s="56">
        <f t="shared" si="83"/>
        <v>206.72490660799994</v>
      </c>
      <c r="CI126" s="56">
        <f>SUMIFS($CH$3:$CH126,$D$3:$D126,D126)</f>
        <v>-591.5790579759996</v>
      </c>
      <c r="CJ126" s="56">
        <f t="shared" si="129"/>
        <v>-2664.2422876139995</v>
      </c>
      <c r="CK126" s="56">
        <f>Datos1[[#This Row],[Resultado Fiscal (miles de millones de G.)]]*1000/$F$207</f>
        <v>29.73122964998462</v>
      </c>
      <c r="CL126" s="56">
        <f t="shared" si="99"/>
        <v>-383.1720163572532</v>
      </c>
      <c r="CM126" s="100">
        <f t="shared" si="114"/>
        <v>-3.6346621276101807</v>
      </c>
      <c r="CN126" s="100">
        <f t="shared" si="115"/>
        <v>-3.2889496027637786</v>
      </c>
      <c r="CO126" s="100">
        <f t="shared" si="121"/>
        <v>-11.302684110906524</v>
      </c>
      <c r="CP126" s="4">
        <f t="shared" si="84"/>
        <v>0.1239992915365126</v>
      </c>
      <c r="CQ126" s="4">
        <f t="shared" si="130"/>
        <v>-1.5980858889548482</v>
      </c>
      <c r="CR126" s="73">
        <v>991.26252562699995</v>
      </c>
      <c r="CS126" s="113">
        <f>SUM(Datos1[[#This Row],[FFPP]:[MTESS]])</f>
        <v>0</v>
      </c>
      <c r="CT126" s="113"/>
      <c r="CU126" s="113"/>
      <c r="CV126" s="113"/>
      <c r="CW126" s="113"/>
      <c r="CX126" s="113"/>
      <c r="CY126" s="113"/>
      <c r="CZ126" s="113"/>
    </row>
    <row r="127" spans="1:104">
      <c r="A127">
        <v>125</v>
      </c>
      <c r="B127" s="3">
        <v>41395</v>
      </c>
      <c r="C127" s="14" t="str">
        <f t="shared" si="66"/>
        <v>Mayo</v>
      </c>
      <c r="D127" s="14">
        <f t="shared" si="85"/>
        <v>2013</v>
      </c>
      <c r="E127" s="15">
        <f t="shared" si="67"/>
        <v>166714.58687094846</v>
      </c>
      <c r="F127" s="15">
        <f t="shared" si="125"/>
        <v>4303.8810946113945</v>
      </c>
      <c r="G127" s="56">
        <v>1989.8629354950003</v>
      </c>
      <c r="H127" s="4">
        <f t="shared" si="86"/>
        <v>1.193574583269865</v>
      </c>
      <c r="I127" s="4">
        <f>SUMIFS($G$3:$G127,$D$3:$D127,D127)</f>
        <v>8818.618637395999</v>
      </c>
      <c r="J127" s="2">
        <f t="shared" si="93"/>
        <v>21149.254746097999</v>
      </c>
      <c r="K127" s="95">
        <f t="shared" si="100"/>
        <v>6.1689125922146149E-2</v>
      </c>
      <c r="L127" s="95">
        <f t="shared" si="101"/>
        <v>-3.2860834692548191E-2</v>
      </c>
      <c r="M127" s="95">
        <f t="shared" si="116"/>
        <v>6.1586545361405065E-2</v>
      </c>
      <c r="N127" s="4">
        <v>1510.8658002620002</v>
      </c>
      <c r="O127" s="4">
        <f t="shared" si="69"/>
        <v>0.90625891148417703</v>
      </c>
      <c r="P127" s="4">
        <f>SUMIFS($N$3:$N127,$D$3:$D127,D127)</f>
        <v>5908.533334105</v>
      </c>
      <c r="Q127" s="4">
        <f t="shared" si="127"/>
        <v>14240.016777405999</v>
      </c>
      <c r="R127" s="97">
        <f t="shared" si="102"/>
        <v>3.0826394029617399E-2</v>
      </c>
      <c r="S127" s="97">
        <f t="shared" si="103"/>
        <v>6.6691639157495208E-2</v>
      </c>
      <c r="T127" s="97">
        <f t="shared" si="117"/>
        <v>5.1142279041333394E-2</v>
      </c>
      <c r="U127" s="4">
        <v>949.91632033141673</v>
      </c>
      <c r="V127" s="4">
        <f t="shared" si="94"/>
        <v>7401.6775188447928</v>
      </c>
      <c r="W127" s="97">
        <f t="shared" si="122"/>
        <v>0.12032850877117607</v>
      </c>
      <c r="X127" s="97">
        <f t="shared" si="104"/>
        <v>0.11391732012564071</v>
      </c>
      <c r="Y127" s="4">
        <v>558.54883967899991</v>
      </c>
      <c r="Z127" s="4">
        <f t="shared" si="95"/>
        <v>6814.6053873750006</v>
      </c>
      <c r="AA127" s="97">
        <f t="shared" si="123"/>
        <v>-4.8325170430014719E-3</v>
      </c>
      <c r="AB127" s="97">
        <f t="shared" si="105"/>
        <v>-4.9647944773472119E-2</v>
      </c>
      <c r="AC127" s="4">
        <v>79.863618130000006</v>
      </c>
      <c r="AD127" s="4">
        <f t="shared" si="70"/>
        <v>4.7904397346958824E-2</v>
      </c>
      <c r="AE127" s="4">
        <v>88.514657683999999</v>
      </c>
      <c r="AF127" s="4">
        <f t="shared" si="71"/>
        <v>5.3093529093838694E-2</v>
      </c>
      <c r="AG127" s="4">
        <v>310.61885941900005</v>
      </c>
      <c r="AH127" s="4">
        <f t="shared" si="72"/>
        <v>72.171803214523152</v>
      </c>
      <c r="AI127" s="4">
        <v>232.43347388300003</v>
      </c>
      <c r="AJ127" s="4">
        <f t="shared" si="73"/>
        <v>33.428642458952496</v>
      </c>
      <c r="AK127" s="101">
        <f>SUMIFS($AJ$3:$AJ127,$D$3:$D127,D127)</f>
        <v>166.84922736597508</v>
      </c>
      <c r="AL127" s="4">
        <v>0</v>
      </c>
      <c r="AM127" s="4">
        <f t="shared" si="74"/>
        <v>0</v>
      </c>
      <c r="AN127" s="101">
        <f>SUMIFS($AM$3:$AM127,$D$3:$D127,D127)</f>
        <v>42.088855032534532</v>
      </c>
      <c r="AO127" s="4">
        <f t="shared" si="87"/>
        <v>78.185385536000013</v>
      </c>
      <c r="AP127" s="56">
        <v>1615.4609988479999</v>
      </c>
      <c r="AQ127" s="4">
        <f t="shared" si="75"/>
        <v>0.96899799181850033</v>
      </c>
      <c r="AR127" s="4">
        <f>SUMIFS($AP$3:$AP127,$D$3:$D127,D127)</f>
        <v>8228.5468677009994</v>
      </c>
      <c r="AS127" s="4">
        <f t="shared" si="96"/>
        <v>20661.066359640005</v>
      </c>
      <c r="AT127" s="97">
        <f t="shared" si="106"/>
        <v>1.3754337910217185E-2</v>
      </c>
      <c r="AU127" s="97">
        <f t="shared" si="107"/>
        <v>0.15300449908125491</v>
      </c>
      <c r="AV127" s="98">
        <f t="shared" si="131"/>
        <v>0.19713580118435292</v>
      </c>
      <c r="AW127" s="4">
        <v>866.88023830700001</v>
      </c>
      <c r="AX127" s="4">
        <f>SUMIFS($AW$3:$AW127,$D$3:$D127,D127)</f>
        <v>4327.8149198309993</v>
      </c>
      <c r="AY127" s="4">
        <f t="shared" si="97"/>
        <v>10766.474014496998</v>
      </c>
      <c r="AZ127" s="97">
        <f t="shared" si="108"/>
        <v>0.11559224050011752</v>
      </c>
      <c r="BA127" s="97">
        <f t="shared" si="109"/>
        <v>0.12940294600823865</v>
      </c>
      <c r="BB127" s="97">
        <f t="shared" si="124"/>
        <v>0.22223859296267068</v>
      </c>
      <c r="BC127" s="4">
        <v>576.440648689</v>
      </c>
      <c r="BD127" s="4">
        <f t="shared" si="88"/>
        <v>290.43958961800001</v>
      </c>
      <c r="BE127" s="4">
        <v>162.61636557599999</v>
      </c>
      <c r="BF127" s="4">
        <v>20.54171535</v>
      </c>
      <c r="BG127" s="4">
        <f t="shared" si="76"/>
        <v>2.9543148259031788</v>
      </c>
      <c r="BH127" s="4">
        <f>Datos1[[#This Row],[Intereses]]/Datos1[[#This Row],[PIB nominal (miles de millones de G.)]]*100</f>
        <v>1.2321486521093123E-2</v>
      </c>
      <c r="BI127" s="4">
        <v>300.13471602199996</v>
      </c>
      <c r="BJ127" s="4">
        <v>222.52614503499998</v>
      </c>
      <c r="BK127" s="4">
        <v>42.761818557999995</v>
      </c>
      <c r="BL127" s="56">
        <f t="shared" si="126"/>
        <v>374.40193664700041</v>
      </c>
      <c r="BM127" s="56">
        <f>SUMIFS($BL$3:$BL127,$D$3:$D127,D127)</f>
        <v>590.07176969500074</v>
      </c>
      <c r="BN127" s="56">
        <f t="shared" si="128"/>
        <v>488.1883864580002</v>
      </c>
      <c r="BO127" s="100">
        <f t="shared" si="110"/>
        <v>-0.19297813638648142</v>
      </c>
      <c r="BP127" s="100">
        <f t="shared" si="111"/>
        <v>-0.49549374754182751</v>
      </c>
      <c r="BQ127" s="100">
        <f t="shared" si="119"/>
        <v>-0.81671579768033209</v>
      </c>
      <c r="BR127" s="2">
        <f t="shared" si="78"/>
        <v>0.22457659145136469</v>
      </c>
      <c r="BS127" s="2">
        <f>+Datos1[[#This Row],[RON acumulado 12 meses]]/Datos1[[#This Row],[PIB nominal (miles de millones de G.)]]*100</f>
        <v>0.2928288373685623</v>
      </c>
      <c r="BT127" s="56">
        <v>177.41678485099999</v>
      </c>
      <c r="BU127" s="56">
        <f>SUMIFS($BT$3:$BT127,$D$3:$D127,D127)</f>
        <v>984.66567587499992</v>
      </c>
      <c r="BV127" s="56">
        <f t="shared" si="98"/>
        <v>3257.6539517179999</v>
      </c>
      <c r="BW127" s="100">
        <f t="shared" si="112"/>
        <v>9.7048457470797711E-2</v>
      </c>
      <c r="BX127" s="100">
        <f t="shared" si="113"/>
        <v>0.61700517526080612</v>
      </c>
      <c r="BY127" s="100">
        <f t="shared" si="120"/>
        <v>0.32983598395981417</v>
      </c>
      <c r="BZ127" s="56">
        <f t="shared" si="79"/>
        <v>25.516127982436661</v>
      </c>
      <c r="CA127" s="56">
        <f>Datos1[[#This Row],[Adquisición Neta de Activos no Financieros]]/Datos1[[#This Row],[PIB nominal (miles de millones de G.)]]*100</f>
        <v>0.10641947305327035</v>
      </c>
      <c r="CB127" s="56">
        <f>+Datos1[[#This Row],[ANANF acumulado por año]]/Datos1[[#This Row],[PIB nominal (miles de millones de G.)]]*100</f>
        <v>0.59062958698222157</v>
      </c>
      <c r="CC127" s="56">
        <f>+Datos1[[#This Row],[ANANF acumulado 12 meses]]/Datos1[[#This Row],[PIB nominal (miles de millones de G.)]]*100</f>
        <v>1.9540305457732419</v>
      </c>
      <c r="CD127" s="4">
        <v>82.945827092000002</v>
      </c>
      <c r="CE127" s="4">
        <f t="shared" si="80"/>
        <v>11.92929035133851</v>
      </c>
      <c r="CF127" s="4">
        <f t="shared" si="81"/>
        <v>94.470957758999987</v>
      </c>
      <c r="CG127" s="4">
        <f t="shared" si="82"/>
        <v>13.586837631098154</v>
      </c>
      <c r="CH127" s="56">
        <f t="shared" si="83"/>
        <v>196.98515179600042</v>
      </c>
      <c r="CI127" s="56">
        <f>SUMIFS($CH$3:$CH127,$D$3:$D127,D127)</f>
        <v>-394.59390617999918</v>
      </c>
      <c r="CJ127" s="56">
        <f t="shared" si="129"/>
        <v>-2769.4655652599995</v>
      </c>
      <c r="CK127" s="56">
        <f>Datos1[[#This Row],[Resultado Fiscal (miles de millones de G.)]]*1000/$F$207</f>
        <v>28.330455588447837</v>
      </c>
      <c r="CL127" s="56">
        <f t="shared" si="99"/>
        <v>-398.30525542142436</v>
      </c>
      <c r="CM127" s="100">
        <f t="shared" si="114"/>
        <v>-0.34818114716483883</v>
      </c>
      <c r="CN127" s="100">
        <f t="shared" si="115"/>
        <v>-1.7038044471788951</v>
      </c>
      <c r="CO127" s="100">
        <f t="shared" si="121"/>
        <v>-13.947866868420153</v>
      </c>
      <c r="CP127" s="4">
        <f t="shared" si="84"/>
        <v>0.11815711839809435</v>
      </c>
      <c r="CQ127" s="4">
        <f t="shared" si="130"/>
        <v>-1.6612017084046797</v>
      </c>
      <c r="CR127" s="73">
        <v>966.80126915300002</v>
      </c>
      <c r="CS127" s="113">
        <f>SUM(Datos1[[#This Row],[FFPP]:[MTESS]])</f>
        <v>0</v>
      </c>
      <c r="CT127" s="113"/>
      <c r="CU127" s="113"/>
      <c r="CV127" s="113"/>
      <c r="CW127" s="113"/>
      <c r="CX127" s="113"/>
      <c r="CY127" s="113"/>
      <c r="CZ127" s="113"/>
    </row>
    <row r="128" spans="1:104">
      <c r="A128">
        <v>126</v>
      </c>
      <c r="B128" s="3">
        <v>41426</v>
      </c>
      <c r="C128" s="14" t="str">
        <f t="shared" si="66"/>
        <v>Junio</v>
      </c>
      <c r="D128" s="14">
        <f t="shared" si="85"/>
        <v>2013</v>
      </c>
      <c r="E128" s="15">
        <f t="shared" si="67"/>
        <v>166714.58687094846</v>
      </c>
      <c r="F128" s="15">
        <f t="shared" si="125"/>
        <v>4303.8810946113945</v>
      </c>
      <c r="G128" s="56">
        <v>1508.1503166129999</v>
      </c>
      <c r="H128" s="4">
        <f t="shared" si="86"/>
        <v>0.90463008961563685</v>
      </c>
      <c r="I128" s="4">
        <f>SUMIFS($G$3:$G128,$D$3:$D128,D128)</f>
        <v>10326.768954009</v>
      </c>
      <c r="J128" s="2">
        <f t="shared" si="93"/>
        <v>21129.605865759997</v>
      </c>
      <c r="K128" s="95">
        <f t="shared" si="100"/>
        <v>5.0107134101839534E-2</v>
      </c>
      <c r="L128" s="95">
        <f t="shared" si="101"/>
        <v>-1.2860905004540513E-2</v>
      </c>
      <c r="M128" s="95">
        <f t="shared" si="116"/>
        <v>5.4076921860674032E-2</v>
      </c>
      <c r="N128" s="4">
        <v>1052.9011401569999</v>
      </c>
      <c r="O128" s="4">
        <f t="shared" si="69"/>
        <v>0.63155909744840533</v>
      </c>
      <c r="P128" s="4">
        <f>SUMIFS($N$3:$N128,$D$3:$D128,D128)</f>
        <v>6961.4344742619996</v>
      </c>
      <c r="Q128" s="4">
        <f t="shared" si="127"/>
        <v>14305.768652401999</v>
      </c>
      <c r="R128" s="97">
        <f t="shared" si="102"/>
        <v>6.6607834616861039E-2</v>
      </c>
      <c r="S128" s="97">
        <f t="shared" si="103"/>
        <v>6.6678963065951669E-2</v>
      </c>
      <c r="T128" s="97">
        <f t="shared" si="117"/>
        <v>6.1218147991161098E-2</v>
      </c>
      <c r="U128" s="4">
        <v>549.04827172541661</v>
      </c>
      <c r="V128" s="4">
        <f t="shared" si="94"/>
        <v>7463.1983322965507</v>
      </c>
      <c r="W128" s="97">
        <f t="shared" si="122"/>
        <v>0.12383321248205648</v>
      </c>
      <c r="X128" s="97">
        <f t="shared" si="104"/>
        <v>0.126189432836469</v>
      </c>
      <c r="Y128" s="4">
        <v>513.88475141900005</v>
      </c>
      <c r="Z128" s="4">
        <f t="shared" si="95"/>
        <v>6810.6778264770001</v>
      </c>
      <c r="AA128" s="97">
        <f t="shared" si="123"/>
        <v>1.4541792481990168E-3</v>
      </c>
      <c r="AB128" s="97">
        <f t="shared" si="105"/>
        <v>-7.5849121478507309E-3</v>
      </c>
      <c r="AC128" s="4">
        <v>88.997046147000006</v>
      </c>
      <c r="AD128" s="4">
        <f t="shared" si="70"/>
        <v>5.3382878977405512E-2</v>
      </c>
      <c r="AE128" s="4">
        <v>55.760089426</v>
      </c>
      <c r="AF128" s="4">
        <f t="shared" si="71"/>
        <v>3.3446437095011453E-2</v>
      </c>
      <c r="AG128" s="4">
        <v>310.49204088300002</v>
      </c>
      <c r="AH128" s="4">
        <f t="shared" si="72"/>
        <v>72.142337127237695</v>
      </c>
      <c r="AI128" s="4">
        <v>245.09113634100001</v>
      </c>
      <c r="AJ128" s="4">
        <f t="shared" si="73"/>
        <v>35.249070754437923</v>
      </c>
      <c r="AK128" s="101">
        <f>SUMIFS($AJ$3:$AJ128,$D$3:$D128,D128)</f>
        <v>202.09829812041301</v>
      </c>
      <c r="AL128" s="4">
        <v>0</v>
      </c>
      <c r="AM128" s="4">
        <f t="shared" si="74"/>
        <v>0</v>
      </c>
      <c r="AN128" s="101">
        <f>SUMIFS($AM$3:$AM128,$D$3:$D128,D128)</f>
        <v>42.088855032534532</v>
      </c>
      <c r="AO128" s="4">
        <f t="shared" si="87"/>
        <v>65.400904542000006</v>
      </c>
      <c r="AP128" s="56">
        <v>1458.4768883670001</v>
      </c>
      <c r="AQ128" s="4">
        <f t="shared" si="75"/>
        <v>0.87483459950387399</v>
      </c>
      <c r="AR128" s="4">
        <f>SUMIFS($AP$3:$AP128,$D$3:$D128,D128)</f>
        <v>9687.0237560679998</v>
      </c>
      <c r="AS128" s="4">
        <f t="shared" si="96"/>
        <v>20649.809649792998</v>
      </c>
      <c r="AT128" s="97">
        <f t="shared" si="106"/>
        <v>-7.6590137564241934E-3</v>
      </c>
      <c r="AU128" s="97">
        <f t="shared" si="107"/>
        <v>0.12556747213469555</v>
      </c>
      <c r="AV128" s="98">
        <f t="shared" si="131"/>
        <v>0.17790651185312001</v>
      </c>
      <c r="AW128" s="4">
        <v>885.539735404</v>
      </c>
      <c r="AX128" s="4">
        <f>SUMIFS($AW$3:$AW128,$D$3:$D128,D128)</f>
        <v>5213.354655234999</v>
      </c>
      <c r="AY128" s="4">
        <f t="shared" si="97"/>
        <v>10872.089138155998</v>
      </c>
      <c r="AZ128" s="97">
        <f t="shared" si="108"/>
        <v>0.13541709297094395</v>
      </c>
      <c r="BA128" s="97">
        <f t="shared" si="109"/>
        <v>0.13042001222519639</v>
      </c>
      <c r="BB128" s="97">
        <f t="shared" si="124"/>
        <v>0.21231425499116408</v>
      </c>
      <c r="BC128" s="4">
        <v>577.81678004499997</v>
      </c>
      <c r="BD128" s="4">
        <f t="shared" si="88"/>
        <v>307.72295535900003</v>
      </c>
      <c r="BE128" s="4">
        <v>109.69721753100001</v>
      </c>
      <c r="BF128" s="4">
        <v>16.887773461000002</v>
      </c>
      <c r="BG128" s="4">
        <f t="shared" si="76"/>
        <v>2.4288039563515098</v>
      </c>
      <c r="BH128" s="4">
        <f>Datos1[[#This Row],[Intereses]]/Datos1[[#This Row],[PIB nominal (miles de millones de G.)]]*100</f>
        <v>1.0129751558016098E-2</v>
      </c>
      <c r="BI128" s="4">
        <v>224.896851021</v>
      </c>
      <c r="BJ128" s="4">
        <v>202.102102702</v>
      </c>
      <c r="BK128" s="4">
        <v>19.353208248000001</v>
      </c>
      <c r="BL128" s="56">
        <f t="shared" si="126"/>
        <v>49.67342824599973</v>
      </c>
      <c r="BM128" s="56">
        <f>SUMIFS($BL$3:$BL128,$D$3:$D128,D128)</f>
        <v>639.74519794100047</v>
      </c>
      <c r="BN128" s="56">
        <f t="shared" si="128"/>
        <v>479.79621596700008</v>
      </c>
      <c r="BO128" s="100">
        <f t="shared" si="110"/>
        <v>-0.14452913038942905</v>
      </c>
      <c r="BP128" s="100">
        <f t="shared" si="111"/>
        <v>-0.47889400792352332</v>
      </c>
      <c r="BQ128" s="100">
        <f t="shared" si="119"/>
        <v>-0.80920039068728489</v>
      </c>
      <c r="BR128" s="2">
        <f t="shared" si="78"/>
        <v>2.9795490111762843E-2</v>
      </c>
      <c r="BS128" s="2">
        <f>+Datos1[[#This Row],[RON acumulado 12 meses]]/Datos1[[#This Row],[PIB nominal (miles de millones de G.)]]*100</f>
        <v>0.28779498241410867</v>
      </c>
      <c r="BT128" s="56">
        <v>142.89120049100001</v>
      </c>
      <c r="BU128" s="56">
        <f>SUMIFS($BT$3:$BT128,$D$3:$D128,D128)</f>
        <v>1127.5568763659999</v>
      </c>
      <c r="BV128" s="56">
        <f t="shared" si="98"/>
        <v>3256.6781479799997</v>
      </c>
      <c r="BW128" s="100">
        <f t="shared" si="112"/>
        <v>-6.7826792059059171E-3</v>
      </c>
      <c r="BX128" s="100">
        <f t="shared" si="113"/>
        <v>0.49779532875520105</v>
      </c>
      <c r="BY128" s="100">
        <f t="shared" si="120"/>
        <v>0.30848350489779564</v>
      </c>
      <c r="BZ128" s="56">
        <f t="shared" si="79"/>
        <v>20.550649490996129</v>
      </c>
      <c r="CA128" s="56">
        <f>Datos1[[#This Row],[Adquisición Neta de Activos no Financieros]]/Datos1[[#This Row],[PIB nominal (miles de millones de G.)]]*100</f>
        <v>8.5710076828256293E-2</v>
      </c>
      <c r="CB128" s="56">
        <f>+Datos1[[#This Row],[ANANF acumulado por año]]/Datos1[[#This Row],[PIB nominal (miles de millones de G.)]]*100</f>
        <v>0.67633966381047783</v>
      </c>
      <c r="CC128" s="56">
        <f>+Datos1[[#This Row],[ANANF acumulado 12 meses]]/Datos1[[#This Row],[PIB nominal (miles de millones de G.)]]*100</f>
        <v>1.953445231820627</v>
      </c>
      <c r="CD128" s="4">
        <v>75.889421097000024</v>
      </c>
      <c r="CE128" s="4">
        <f t="shared" si="80"/>
        <v>10.914436212167484</v>
      </c>
      <c r="CF128" s="4">
        <f t="shared" si="81"/>
        <v>67.001779393999982</v>
      </c>
      <c r="CG128" s="4">
        <f t="shared" si="82"/>
        <v>9.636213278828647</v>
      </c>
      <c r="CH128" s="56">
        <f t="shared" si="83"/>
        <v>-93.217772245000276</v>
      </c>
      <c r="CI128" s="56">
        <f>SUMIFS($CH$3:$CH128,$D$3:$D128,D128)</f>
        <v>-487.81167842499946</v>
      </c>
      <c r="CJ128" s="56">
        <f t="shared" si="129"/>
        <v>-2776.8819320129992</v>
      </c>
      <c r="CK128" s="56">
        <f>Datos1[[#This Row],[Resultado Fiscal (miles de millones de G.)]]*1000/$F$207</f>
        <v>-13.406604165657964</v>
      </c>
      <c r="CL128" s="56">
        <f t="shared" si="99"/>
        <v>-399.37187921011019</v>
      </c>
      <c r="CM128" s="100">
        <f t="shared" si="114"/>
        <v>8.6436425026762187E-2</v>
      </c>
      <c r="CN128" s="100">
        <f t="shared" si="115"/>
        <v>-2.0272811371583708</v>
      </c>
      <c r="CO128" s="100">
        <f t="shared" si="121"/>
        <v>-108.7760523169235</v>
      </c>
      <c r="CP128" s="4">
        <f t="shared" si="84"/>
        <v>-5.5914586716493443E-2</v>
      </c>
      <c r="CQ128" s="4">
        <f t="shared" si="130"/>
        <v>-1.6656502494065182</v>
      </c>
      <c r="CR128" s="73">
        <v>974.08413580700005</v>
      </c>
      <c r="CS128" s="113">
        <f>SUM(Datos1[[#This Row],[FFPP]:[MTESS]])</f>
        <v>0</v>
      </c>
      <c r="CT128" s="113"/>
      <c r="CU128" s="113"/>
      <c r="CV128" s="113"/>
      <c r="CW128" s="113"/>
      <c r="CX128" s="113"/>
      <c r="CY128" s="113"/>
      <c r="CZ128" s="113"/>
    </row>
    <row r="129" spans="1:104">
      <c r="A129">
        <v>127</v>
      </c>
      <c r="B129" s="3">
        <v>41456</v>
      </c>
      <c r="C129" s="14" t="str">
        <f t="shared" si="66"/>
        <v>Julio</v>
      </c>
      <c r="D129" s="14">
        <f t="shared" si="85"/>
        <v>2013</v>
      </c>
      <c r="E129" s="15">
        <f t="shared" si="67"/>
        <v>166714.58687094846</v>
      </c>
      <c r="F129" s="15">
        <f t="shared" si="125"/>
        <v>4303.8810946113945</v>
      </c>
      <c r="G129" s="56">
        <v>1917.4887134229998</v>
      </c>
      <c r="H129" s="4">
        <f t="shared" si="86"/>
        <v>1.1501625319128805</v>
      </c>
      <c r="I129" s="4">
        <f>SUMIFS($G$3:$G129,$D$3:$D129,D129)</f>
        <v>12244.257667431999</v>
      </c>
      <c r="J129" s="2">
        <f t="shared" si="93"/>
        <v>21086.085641184</v>
      </c>
      <c r="K129" s="95">
        <f t="shared" si="100"/>
        <v>3.8086745910281605E-2</v>
      </c>
      <c r="L129" s="95">
        <f t="shared" si="101"/>
        <v>-2.2192772165744223E-2</v>
      </c>
      <c r="M129" s="95">
        <f t="shared" si="116"/>
        <v>4.1179381340000321E-2</v>
      </c>
      <c r="N129" s="4">
        <v>1382.9585258299999</v>
      </c>
      <c r="O129" s="4">
        <f t="shared" si="69"/>
        <v>0.82953660611625402</v>
      </c>
      <c r="P129" s="4">
        <f>SUMIFS($N$3:$N129,$D$3:$D129,D129)</f>
        <v>8344.3930000919991</v>
      </c>
      <c r="Q129" s="4">
        <f t="shared" si="127"/>
        <v>14223.072045576</v>
      </c>
      <c r="R129" s="97">
        <f t="shared" si="102"/>
        <v>-5.6422964027110889E-2</v>
      </c>
      <c r="S129" s="97">
        <f t="shared" si="103"/>
        <v>4.4103053301494777E-2</v>
      </c>
      <c r="T129" s="97">
        <f t="shared" si="117"/>
        <v>3.9056640107202556E-2</v>
      </c>
      <c r="U129" s="4">
        <v>799.63459274841671</v>
      </c>
      <c r="V129" s="4">
        <f t="shared" si="94"/>
        <v>7402.4446488423091</v>
      </c>
      <c r="W129" s="97">
        <f t="shared" si="122"/>
        <v>0.10144745287248114</v>
      </c>
      <c r="X129" s="97">
        <f t="shared" si="104"/>
        <v>-7.0611937812982806E-2</v>
      </c>
      <c r="Y129" s="4">
        <v>573.83826176400009</v>
      </c>
      <c r="Z129" s="4">
        <f t="shared" si="95"/>
        <v>6786.9227544909991</v>
      </c>
      <c r="AA129" s="97">
        <f t="shared" si="123"/>
        <v>-1.6270586653906238E-2</v>
      </c>
      <c r="AB129" s="97">
        <f t="shared" si="105"/>
        <v>-3.9751233229013305E-2</v>
      </c>
      <c r="AC129" s="4">
        <v>61.670495082000002</v>
      </c>
      <c r="AD129" s="4">
        <f t="shared" si="70"/>
        <v>3.6991661161442528E-2</v>
      </c>
      <c r="AE129" s="4">
        <v>145.39756744699997</v>
      </c>
      <c r="AF129" s="4">
        <f t="shared" si="71"/>
        <v>8.7213464745919497E-2</v>
      </c>
      <c r="AG129" s="4">
        <v>327.46212506399996</v>
      </c>
      <c r="AH129" s="4">
        <f t="shared" si="72"/>
        <v>76.085309483571393</v>
      </c>
      <c r="AI129" s="4">
        <v>237.02767038799999</v>
      </c>
      <c r="AJ129" s="4">
        <f t="shared" si="73"/>
        <v>34.089380991084575</v>
      </c>
      <c r="AK129" s="101">
        <f>SUMIFS($AJ$3:$AJ129,$D$3:$D129,D129)</f>
        <v>236.18767911149757</v>
      </c>
      <c r="AL129" s="4">
        <v>0</v>
      </c>
      <c r="AM129" s="4">
        <f t="shared" si="74"/>
        <v>0</v>
      </c>
      <c r="AN129" s="101">
        <f>SUMIFS($AM$3:$AM129,$D$3:$D129,D129)</f>
        <v>42.088855032534532</v>
      </c>
      <c r="AO129" s="4">
        <f t="shared" si="87"/>
        <v>90.434454675999973</v>
      </c>
      <c r="AP129" s="56">
        <v>1587.3983171890002</v>
      </c>
      <c r="AQ129" s="4">
        <f t="shared" si="75"/>
        <v>0.95216522260153746</v>
      </c>
      <c r="AR129" s="4">
        <f>SUMIFS($AP$3:$AP129,$D$3:$D129,D129)</f>
        <v>11274.422073256999</v>
      </c>
      <c r="AS129" s="4">
        <f t="shared" si="96"/>
        <v>20642.10578632</v>
      </c>
      <c r="AT129" s="97">
        <f t="shared" si="106"/>
        <v>-4.8296990414761209E-3</v>
      </c>
      <c r="AU129" s="97">
        <f t="shared" si="107"/>
        <v>0.10517852374849812</v>
      </c>
      <c r="AV129" s="98">
        <f t="shared" si="131"/>
        <v>0.14806833047827594</v>
      </c>
      <c r="AW129" s="4">
        <v>878.1643030900002</v>
      </c>
      <c r="AX129" s="4">
        <f>SUMIFS($AW$3:$AW129,$D$3:$D129,D129)</f>
        <v>6091.5189583249994</v>
      </c>
      <c r="AY129" s="4">
        <f t="shared" si="97"/>
        <v>10943.176991605998</v>
      </c>
      <c r="AZ129" s="97">
        <f t="shared" si="108"/>
        <v>8.8080693572101243E-2</v>
      </c>
      <c r="BA129" s="97">
        <f t="shared" si="109"/>
        <v>0.12411416622380433</v>
      </c>
      <c r="BB129" s="97">
        <f t="shared" si="124"/>
        <v>0.19368545524989011</v>
      </c>
      <c r="BC129" s="4">
        <v>575.559268363</v>
      </c>
      <c r="BD129" s="4">
        <f t="shared" si="88"/>
        <v>302.6050347270002</v>
      </c>
      <c r="BE129" s="4">
        <v>128.775784953</v>
      </c>
      <c r="BF129" s="4">
        <v>74.104171454999999</v>
      </c>
      <c r="BG129" s="4">
        <f t="shared" si="76"/>
        <v>10.657681145931059</v>
      </c>
      <c r="BH129" s="4">
        <f>Datos1[[#This Row],[Intereses]]/Datos1[[#This Row],[PIB nominal (miles de millones de G.)]]*100</f>
        <v>4.4449722634266581E-2</v>
      </c>
      <c r="BI129" s="4">
        <v>255.30266477700002</v>
      </c>
      <c r="BJ129" s="4">
        <v>215.84703725800003</v>
      </c>
      <c r="BK129" s="4">
        <v>35.204355656000004</v>
      </c>
      <c r="BL129" s="56">
        <f t="shared" si="126"/>
        <v>330.09039623399963</v>
      </c>
      <c r="BM129" s="56">
        <f>SUMIFS($BL$3:$BL129,$D$3:$D129,D129)</f>
        <v>969.8355941750001</v>
      </c>
      <c r="BN129" s="56">
        <f t="shared" si="128"/>
        <v>443.97985486399989</v>
      </c>
      <c r="BO129" s="100">
        <f t="shared" si="110"/>
        <v>-9.788384714090792E-2</v>
      </c>
      <c r="BP129" s="100">
        <f t="shared" si="111"/>
        <v>-0.39140882159295953</v>
      </c>
      <c r="BQ129" s="100">
        <f t="shared" si="119"/>
        <v>-0.80460850496315306</v>
      </c>
      <c r="BR129" s="2">
        <f t="shared" si="78"/>
        <v>0.1979973093113431</v>
      </c>
      <c r="BS129" s="2">
        <f>+Datos1[[#This Row],[RON acumulado 12 meses]]/Datos1[[#This Row],[PIB nominal (miles de millones de G.)]]*100</f>
        <v>0.26631134275471574</v>
      </c>
      <c r="BT129" s="56">
        <v>165.75939978100001</v>
      </c>
      <c r="BU129" s="56">
        <f>SUMIFS($BT$3:$BT129,$D$3:$D129,D129)</f>
        <v>1293.3162761469998</v>
      </c>
      <c r="BV129" s="56">
        <f t="shared" si="98"/>
        <v>3177.5685482649997</v>
      </c>
      <c r="BW129" s="100">
        <f t="shared" si="112"/>
        <v>-0.32306906908521216</v>
      </c>
      <c r="BX129" s="100">
        <f t="shared" si="113"/>
        <v>0.29632368098474737</v>
      </c>
      <c r="BY129" s="100">
        <f t="shared" si="120"/>
        <v>0.21788847122403721</v>
      </c>
      <c r="BZ129" s="56">
        <f t="shared" si="79"/>
        <v>23.839559840158159</v>
      </c>
      <c r="CA129" s="56">
        <f>Datos1[[#This Row],[Adquisición Neta de Activos no Financieros]]/Datos1[[#This Row],[PIB nominal (miles de millones de G.)]]*100</f>
        <v>9.9427052480603961E-2</v>
      </c>
      <c r="CB129" s="56">
        <f>+Datos1[[#This Row],[ANANF acumulado por año]]/Datos1[[#This Row],[PIB nominal (miles de millones de G.)]]*100</f>
        <v>0.77576671629108174</v>
      </c>
      <c r="CC129" s="56">
        <f>+Datos1[[#This Row],[ANANF acumulado 12 meses]]/Datos1[[#This Row],[PIB nominal (miles de millones de G.)]]*100</f>
        <v>1.9059931154822782</v>
      </c>
      <c r="CD129" s="4">
        <v>63.633148646999992</v>
      </c>
      <c r="CE129" s="4">
        <f t="shared" si="80"/>
        <v>9.151735931670034</v>
      </c>
      <c r="CF129" s="4">
        <f t="shared" si="81"/>
        <v>102.12625113400003</v>
      </c>
      <c r="CG129" s="4">
        <f t="shared" si="82"/>
        <v>14.687823908488129</v>
      </c>
      <c r="CH129" s="56">
        <f t="shared" si="83"/>
        <v>164.33099645299961</v>
      </c>
      <c r="CI129" s="56">
        <f>SUMIFS($CH$3:$CH129,$D$3:$D129,D129)</f>
        <v>-323.48068197199984</v>
      </c>
      <c r="CJ129" s="56">
        <f t="shared" si="129"/>
        <v>-2733.5886934009995</v>
      </c>
      <c r="CK129" s="56">
        <f>Datos1[[#This Row],[Resultado Fiscal (miles de millones de G.)]]*1000/$F$207</f>
        <v>23.634126503293185</v>
      </c>
      <c r="CL129" s="56">
        <f t="shared" si="99"/>
        <v>-393.14543441163357</v>
      </c>
      <c r="CM129" s="100">
        <f t="shared" si="114"/>
        <v>0.35768374583468066</v>
      </c>
      <c r="CN129" s="100">
        <f t="shared" si="115"/>
        <v>-1.5428486437485698</v>
      </c>
      <c r="CO129" s="100">
        <f t="shared" si="121"/>
        <v>7.1158198993554667</v>
      </c>
      <c r="CP129" s="4">
        <f t="shared" si="84"/>
        <v>9.8570256830739139E-2</v>
      </c>
      <c r="CQ129" s="4">
        <f t="shared" si="130"/>
        <v>-1.6396817727275623</v>
      </c>
      <c r="CR129" s="73">
        <v>969.368322208</v>
      </c>
      <c r="CS129" s="113">
        <f>SUM(Datos1[[#This Row],[FFPP]:[MTESS]])</f>
        <v>0</v>
      </c>
      <c r="CT129" s="113"/>
      <c r="CU129" s="113"/>
      <c r="CV129" s="113"/>
      <c r="CW129" s="113"/>
      <c r="CX129" s="113"/>
      <c r="CY129" s="113"/>
      <c r="CZ129" s="113"/>
    </row>
    <row r="130" spans="1:104">
      <c r="A130">
        <v>128</v>
      </c>
      <c r="B130" s="3">
        <v>41487</v>
      </c>
      <c r="C130" s="14" t="str">
        <f t="shared" si="66"/>
        <v>Agosto</v>
      </c>
      <c r="D130" s="14">
        <f t="shared" si="85"/>
        <v>2013</v>
      </c>
      <c r="E130" s="15">
        <f t="shared" si="67"/>
        <v>166714.58687094846</v>
      </c>
      <c r="F130" s="15">
        <f t="shared" si="125"/>
        <v>4303.8810946113945</v>
      </c>
      <c r="G130" s="56">
        <v>1573.8166161500001</v>
      </c>
      <c r="H130" s="4">
        <f t="shared" si="86"/>
        <v>0.94401854432106191</v>
      </c>
      <c r="I130" s="4">
        <f>SUMIFS($G$3:$G130,$D$3:$D130,D130)</f>
        <v>13818.074283581998</v>
      </c>
      <c r="J130" s="2">
        <f t="shared" si="93"/>
        <v>21084.538930391005</v>
      </c>
      <c r="K130" s="95">
        <f t="shared" si="100"/>
        <v>3.3483500403894029E-2</v>
      </c>
      <c r="L130" s="95">
        <f t="shared" si="101"/>
        <v>-9.8181211060788254E-4</v>
      </c>
      <c r="M130" s="95">
        <f t="shared" si="116"/>
        <v>3.2506119123995258E-2</v>
      </c>
      <c r="N130" s="4">
        <v>1122.135582982</v>
      </c>
      <c r="O130" s="4">
        <f t="shared" si="69"/>
        <v>0.6730878227534044</v>
      </c>
      <c r="P130" s="4">
        <f>SUMIFS($N$3:$N130,$D$3:$D130,D130)</f>
        <v>9466.5285830739995</v>
      </c>
      <c r="Q130" s="4">
        <f t="shared" si="127"/>
        <v>14276.090031117999</v>
      </c>
      <c r="R130" s="97">
        <f t="shared" si="102"/>
        <v>4.9590415188143444E-2</v>
      </c>
      <c r="S130" s="97">
        <f t="shared" si="103"/>
        <v>4.4750510288465772E-2</v>
      </c>
      <c r="T130" s="97">
        <f t="shared" si="117"/>
        <v>3.4458144712005145E-2</v>
      </c>
      <c r="U130" s="4">
        <v>496.30252286541668</v>
      </c>
      <c r="V130" s="4">
        <f t="shared" si="94"/>
        <v>7452.4627106770677</v>
      </c>
      <c r="W130" s="97">
        <f t="shared" si="122"/>
        <v>9.3075336887486371E-2</v>
      </c>
      <c r="X130" s="97">
        <f t="shared" si="104"/>
        <v>0.11207663766568388</v>
      </c>
      <c r="Y130" s="4">
        <v>617.75364468699979</v>
      </c>
      <c r="Z130" s="4">
        <f t="shared" si="95"/>
        <v>6762.2675717479997</v>
      </c>
      <c r="AA130" s="97">
        <f t="shared" si="123"/>
        <v>-2.4748787471451483E-2</v>
      </c>
      <c r="AB130" s="97">
        <f t="shared" si="105"/>
        <v>-3.8379271408263471E-2</v>
      </c>
      <c r="AC130" s="4">
        <v>58.431393237999998</v>
      </c>
      <c r="AD130" s="4">
        <f t="shared" si="70"/>
        <v>3.5048758680745175E-2</v>
      </c>
      <c r="AE130" s="4">
        <v>75.812637014999993</v>
      </c>
      <c r="AF130" s="4">
        <f t="shared" si="71"/>
        <v>4.547450732291683E-2</v>
      </c>
      <c r="AG130" s="4">
        <v>317.43700291500005</v>
      </c>
      <c r="AH130" s="4">
        <f t="shared" si="72"/>
        <v>73.75598812719106</v>
      </c>
      <c r="AI130" s="4">
        <v>237.48968396699996</v>
      </c>
      <c r="AJ130" s="4">
        <f t="shared" si="73"/>
        <v>34.155827903766976</v>
      </c>
      <c r="AK130" s="101">
        <f>SUMIFS($AJ$3:$AJ130,$D$3:$D130,D130)</f>
        <v>270.34350701526455</v>
      </c>
      <c r="AL130" s="4">
        <v>0</v>
      </c>
      <c r="AM130" s="4">
        <f t="shared" si="74"/>
        <v>0</v>
      </c>
      <c r="AN130" s="101">
        <f>SUMIFS($AM$3:$AM130,$D$3:$D130,D130)</f>
        <v>42.088855032534532</v>
      </c>
      <c r="AO130" s="4">
        <f t="shared" si="87"/>
        <v>79.947318948000088</v>
      </c>
      <c r="AP130" s="56">
        <v>1496.6527293269999</v>
      </c>
      <c r="AQ130" s="4">
        <f t="shared" si="75"/>
        <v>0.89773352015414154</v>
      </c>
      <c r="AR130" s="4">
        <f>SUMIFS($AP$3:$AP130,$D$3:$D130,D130)</f>
        <v>12771.074802583998</v>
      </c>
      <c r="AS130" s="4">
        <f t="shared" si="96"/>
        <v>20667.461800795001</v>
      </c>
      <c r="AT130" s="97">
        <f t="shared" si="106"/>
        <v>1.723378718856905E-2</v>
      </c>
      <c r="AU130" s="97">
        <f t="shared" si="107"/>
        <v>9.4093487897909611E-2</v>
      </c>
      <c r="AV130" s="98">
        <f t="shared" si="131"/>
        <v>0.14108673292305607</v>
      </c>
      <c r="AW130" s="4">
        <v>889.2368833349999</v>
      </c>
      <c r="AX130" s="4">
        <f>SUMIFS($AW$3:$AW130,$D$3:$D130,D130)</f>
        <v>6980.7558416599995</v>
      </c>
      <c r="AY130" s="4">
        <f t="shared" si="97"/>
        <v>11038.312695047998</v>
      </c>
      <c r="AZ130" s="97">
        <f t="shared" si="108"/>
        <v>0.11980299973212372</v>
      </c>
      <c r="BA130" s="97">
        <f t="shared" si="109"/>
        <v>0.12356314836560811</v>
      </c>
      <c r="BB130" s="97">
        <f t="shared" si="124"/>
        <v>0.17960759856419584</v>
      </c>
      <c r="BC130" s="4">
        <v>575.41729530299995</v>
      </c>
      <c r="BD130" s="4">
        <f t="shared" si="88"/>
        <v>313.81958803199996</v>
      </c>
      <c r="BE130" s="4">
        <v>81.914234347000004</v>
      </c>
      <c r="BF130" s="4">
        <v>18.925449558</v>
      </c>
      <c r="BG130" s="4">
        <f t="shared" si="76"/>
        <v>2.7218630607731673</v>
      </c>
      <c r="BH130" s="4">
        <f>Datos1[[#This Row],[Intereses]]/Datos1[[#This Row],[PIB nominal (miles de millones de G.)]]*100</f>
        <v>1.1352005792180583E-2</v>
      </c>
      <c r="BI130" s="4">
        <v>214.30844021899998</v>
      </c>
      <c r="BJ130" s="4">
        <v>271.01398129099999</v>
      </c>
      <c r="BK130" s="4">
        <v>21.253740576999999</v>
      </c>
      <c r="BL130" s="56">
        <f t="shared" si="126"/>
        <v>77.163886823000212</v>
      </c>
      <c r="BM130" s="56">
        <f>SUMIFS($BL$3:$BL130,$D$3:$D130,D130)</f>
        <v>1046.9994809980003</v>
      </c>
      <c r="BN130" s="56">
        <f t="shared" si="128"/>
        <v>417.07712959599962</v>
      </c>
      <c r="BO130" s="100">
        <f t="shared" si="110"/>
        <v>-0.25851447190839005</v>
      </c>
      <c r="BP130" s="100">
        <f t="shared" si="111"/>
        <v>-0.38326230475248335</v>
      </c>
      <c r="BQ130" s="100">
        <f t="shared" si="119"/>
        <v>-0.81934180547117696</v>
      </c>
      <c r="BR130" s="2">
        <f t="shared" si="78"/>
        <v>4.6285024166920527E-2</v>
      </c>
      <c r="BS130" s="2">
        <f>+Datos1[[#This Row],[RON acumulado 12 meses]]/Datos1[[#This Row],[PIB nominal (miles de millones de G.)]]*100</f>
        <v>0.25017434732262117</v>
      </c>
      <c r="BT130" s="56">
        <v>88.106290153000003</v>
      </c>
      <c r="BU130" s="56">
        <f>SUMIFS($BT$3:$BT130,$D$3:$D130,D130)</f>
        <v>1381.4225662999997</v>
      </c>
      <c r="BV130" s="56">
        <f t="shared" si="98"/>
        <v>3039.3482875879995</v>
      </c>
      <c r="BW130" s="100">
        <f t="shared" si="112"/>
        <v>-0.61071164726413807</v>
      </c>
      <c r="BX130" s="100">
        <f t="shared" si="113"/>
        <v>0.12860712045480605</v>
      </c>
      <c r="BY130" s="100">
        <f t="shared" si="120"/>
        <v>0.13570406145409097</v>
      </c>
      <c r="BZ130" s="56">
        <f t="shared" si="79"/>
        <v>12.671469486326767</v>
      </c>
      <c r="CA130" s="56">
        <f>Datos1[[#This Row],[Adquisición Neta de Activos no Financieros]]/Datos1[[#This Row],[PIB nominal (miles de millones de G.)]]*100</f>
        <v>5.2848579003588879E-2</v>
      </c>
      <c r="CB130" s="56">
        <f>+Datos1[[#This Row],[ANANF acumulado por año]]/Datos1[[#This Row],[PIB nominal (miles de millones de G.)]]*100</f>
        <v>0.8286152952946706</v>
      </c>
      <c r="CC130" s="56">
        <f>+Datos1[[#This Row],[ANANF acumulado 12 meses]]/Datos1[[#This Row],[PIB nominal (miles de millones de G.)]]*100</f>
        <v>1.8230847969774346</v>
      </c>
      <c r="CD130" s="4">
        <v>43.800520421999991</v>
      </c>
      <c r="CE130" s="4">
        <f t="shared" si="80"/>
        <v>6.2994021998746828</v>
      </c>
      <c r="CF130" s="4">
        <f t="shared" si="81"/>
        <v>44.305769731000012</v>
      </c>
      <c r="CG130" s="4">
        <f t="shared" si="82"/>
        <v>6.3720672864520846</v>
      </c>
      <c r="CH130" s="56">
        <f t="shared" si="83"/>
        <v>-10.942403329999792</v>
      </c>
      <c r="CI130" s="56">
        <f>SUMIFS($CH$3:$CH130,$D$3:$D130,D130)</f>
        <v>-334.42308530199966</v>
      </c>
      <c r="CJ130" s="56">
        <f t="shared" si="129"/>
        <v>-2622.2711579920001</v>
      </c>
      <c r="CK130" s="56">
        <f>Datos1[[#This Row],[Resultado Fiscal (miles de millones de G.)]]*1000/$F$207</f>
        <v>-1.5737392831135057</v>
      </c>
      <c r="CL130" s="56">
        <f t="shared" si="99"/>
        <v>-377.13571761639963</v>
      </c>
      <c r="CM130" s="100">
        <f t="shared" si="114"/>
        <v>-0.91049886460879359</v>
      </c>
      <c r="CN130" s="100">
        <f t="shared" si="115"/>
        <v>-1.7060778572027102</v>
      </c>
      <c r="CO130" s="100">
        <f t="shared" si="121"/>
        <v>6.1349161051632484</v>
      </c>
      <c r="CP130" s="4">
        <f t="shared" si="84"/>
        <v>-6.5635548366683475E-3</v>
      </c>
      <c r="CQ130" s="4">
        <f t="shared" si="130"/>
        <v>-1.5729104496548134</v>
      </c>
      <c r="CR130" s="73">
        <v>970.70129577299997</v>
      </c>
      <c r="CS130" s="113">
        <f>SUM(Datos1[[#This Row],[FFPP]:[MTESS]])</f>
        <v>0</v>
      </c>
      <c r="CT130" s="113"/>
      <c r="CU130" s="113"/>
      <c r="CV130" s="113"/>
      <c r="CW130" s="113"/>
      <c r="CX130" s="113"/>
      <c r="CY130" s="113"/>
      <c r="CZ130" s="113"/>
    </row>
    <row r="131" spans="1:104">
      <c r="A131">
        <v>129</v>
      </c>
      <c r="B131" s="3">
        <v>41518</v>
      </c>
      <c r="C131" s="14" t="str">
        <f t="shared" ref="C131:C194" si="132">VLOOKUP(MONTH(B131),Meses,2,0)</f>
        <v>Septiembre</v>
      </c>
      <c r="D131" s="14">
        <f t="shared" si="85"/>
        <v>2013</v>
      </c>
      <c r="E131" s="15">
        <f t="shared" ref="E131:E194" si="133">VLOOKUP(D131,PIBNOMG,2,0)</f>
        <v>166714.58687094846</v>
      </c>
      <c r="F131" s="15">
        <f t="shared" ref="F131:F162" si="134">VLOOKUP(D131,cambio,2,0)</f>
        <v>4303.8810946113945</v>
      </c>
      <c r="G131" s="56">
        <v>1837.4117233030001</v>
      </c>
      <c r="H131" s="4">
        <f t="shared" si="86"/>
        <v>1.1021301481707273</v>
      </c>
      <c r="I131" s="4">
        <f>SUMIFS($G$3:$G131,$D$3:$D131,D131)</f>
        <v>15655.486006884999</v>
      </c>
      <c r="J131" s="2">
        <f t="shared" si="93"/>
        <v>21060.796009970003</v>
      </c>
      <c r="K131" s="95">
        <f t="shared" si="100"/>
        <v>2.7833324268836224E-2</v>
      </c>
      <c r="L131" s="95">
        <f t="shared" si="101"/>
        <v>-1.275709168019068E-2</v>
      </c>
      <c r="M131" s="95">
        <f t="shared" si="116"/>
        <v>1.8766828172333216E-2</v>
      </c>
      <c r="N131" s="4">
        <v>1413.9699052819999</v>
      </c>
      <c r="O131" s="4">
        <f t="shared" ref="O131:O194" si="135">N131/E131*100</f>
        <v>0.8481380854673114</v>
      </c>
      <c r="P131" s="4">
        <f>SUMIFS($N$3:$N131,$D$3:$D131,D131)</f>
        <v>10880.498488355999</v>
      </c>
      <c r="Q131" s="4">
        <f t="shared" si="127"/>
        <v>14369.958599652</v>
      </c>
      <c r="R131" s="97">
        <f t="shared" si="102"/>
        <v>7.1107093009420197E-2</v>
      </c>
      <c r="S131" s="97">
        <f t="shared" si="103"/>
        <v>4.8102102487445952E-2</v>
      </c>
      <c r="T131" s="97">
        <f t="shared" si="117"/>
        <v>4.0670662525713608E-2</v>
      </c>
      <c r="U131" s="4">
        <v>821.70570127441647</v>
      </c>
      <c r="V131" s="4">
        <f t="shared" si="94"/>
        <v>7522.0342799467244</v>
      </c>
      <c r="W131" s="97">
        <f t="shared" si="122"/>
        <v>9.7595038851907123E-2</v>
      </c>
      <c r="X131" s="97">
        <f t="shared" si="104"/>
        <v>9.2498885915760498E-2</v>
      </c>
      <c r="Y131" s="4">
        <v>625.76955884400002</v>
      </c>
      <c r="Z131" s="4">
        <f t="shared" si="95"/>
        <v>6820.2184536059995</v>
      </c>
      <c r="AA131" s="97">
        <f t="shared" si="123"/>
        <v>-1.2826719825905109E-2</v>
      </c>
      <c r="AB131" s="97">
        <f t="shared" si="105"/>
        <v>0.10205878074600339</v>
      </c>
      <c r="AC131" s="4">
        <v>62.682013089000002</v>
      </c>
      <c r="AD131" s="4">
        <f t="shared" ref="AD131:AD194" si="136">AC131/E131*100</f>
        <v>3.7598397516062171E-2</v>
      </c>
      <c r="AE131" s="4">
        <v>47.001494772999997</v>
      </c>
      <c r="AF131" s="4">
        <f t="shared" ref="AF131:AF194" si="137">AE131/E131*100</f>
        <v>2.8192790838022608E-2</v>
      </c>
      <c r="AG131" s="4">
        <v>313.75831015900002</v>
      </c>
      <c r="AH131" s="4">
        <f t="shared" ref="AH131:AH194" si="138">AG131*1000/F131</f>
        <v>72.901249653907982</v>
      </c>
      <c r="AI131" s="4">
        <v>241.470417978</v>
      </c>
      <c r="AJ131" s="4">
        <f t="shared" ref="AJ131:AJ194" si="139">AI131*1000/$F$207</f>
        <v>34.728338101006877</v>
      </c>
      <c r="AK131" s="101">
        <f>SUMIFS($AJ$3:$AJ131,$D$3:$D131,D131)</f>
        <v>305.07184511627145</v>
      </c>
      <c r="AL131" s="4">
        <v>0</v>
      </c>
      <c r="AM131" s="4">
        <f t="shared" ref="AM131:AM194" si="140">AL131*1000/$F$207</f>
        <v>0</v>
      </c>
      <c r="AN131" s="101">
        <f>SUMIFS($AM$3:$AM131,$D$3:$D131,D131)</f>
        <v>42.088855032534532</v>
      </c>
      <c r="AO131" s="4">
        <f t="shared" si="87"/>
        <v>72.287892181000018</v>
      </c>
      <c r="AP131" s="56">
        <v>1543.4637223269999</v>
      </c>
      <c r="AQ131" s="4">
        <f t="shared" ref="AQ131:AQ194" si="141">+AP131/E131*100</f>
        <v>0.92581204278289975</v>
      </c>
      <c r="AR131" s="4">
        <f>SUMIFS($AP$3:$AP131,$D$3:$D131,D131)</f>
        <v>14314.538524910999</v>
      </c>
      <c r="AS131" s="4">
        <f t="shared" si="96"/>
        <v>20868.725988352002</v>
      </c>
      <c r="AT131" s="97">
        <f t="shared" si="106"/>
        <v>0.14995101871458227</v>
      </c>
      <c r="AU131" s="97">
        <f t="shared" si="107"/>
        <v>9.9853938814818299E-2</v>
      </c>
      <c r="AV131" s="98">
        <f t="shared" si="131"/>
        <v>0.13909130079833476</v>
      </c>
      <c r="AW131" s="4">
        <v>901.95537717899981</v>
      </c>
      <c r="AX131" s="4">
        <f>SUMIFS($AW$3:$AW131,$D$3:$D131,D131)</f>
        <v>7882.7112188389992</v>
      </c>
      <c r="AY131" s="4">
        <f t="shared" si="97"/>
        <v>11131.804772906997</v>
      </c>
      <c r="AZ131" s="97">
        <f t="shared" si="108"/>
        <v>0.11564170932389417</v>
      </c>
      <c r="BA131" s="97">
        <f t="shared" si="109"/>
        <v>0.12265106702496364</v>
      </c>
      <c r="BB131" s="97">
        <f t="shared" si="124"/>
        <v>0.16675382255919757</v>
      </c>
      <c r="BC131" s="4">
        <v>575.380229321</v>
      </c>
      <c r="BD131" s="4">
        <f t="shared" si="88"/>
        <v>326.57514785799981</v>
      </c>
      <c r="BE131" s="4">
        <v>73.612581983000013</v>
      </c>
      <c r="BF131" s="4">
        <v>72.173999641000009</v>
      </c>
      <c r="BG131" s="4">
        <f t="shared" ref="BG131:BG194" si="142">+BF131/$F$207*1000</f>
        <v>10.380083335354806</v>
      </c>
      <c r="BH131" s="4">
        <f>Datos1[[#This Row],[Intereses]]/Datos1[[#This Row],[PIB nominal (miles de millones de G.)]]*100</f>
        <v>4.3291952429374961E-2</v>
      </c>
      <c r="BI131" s="4">
        <v>243.18739838400001</v>
      </c>
      <c r="BJ131" s="4">
        <v>223.09627220900001</v>
      </c>
      <c r="BK131" s="4">
        <v>29.438092931</v>
      </c>
      <c r="BL131" s="56">
        <f t="shared" ref="BL131:BL162" si="143">+G131-AP131</f>
        <v>293.94800097600023</v>
      </c>
      <c r="BM131" s="56">
        <f>SUMIFS($BL$3:$BL131,$D$3:$D131,D131)</f>
        <v>1340.9474819740005</v>
      </c>
      <c r="BN131" s="56">
        <f t="shared" si="128"/>
        <v>192.07002161799983</v>
      </c>
      <c r="BO131" s="100">
        <f t="shared" si="110"/>
        <v>-0.43357720946523015</v>
      </c>
      <c r="BP131" s="100">
        <f t="shared" si="111"/>
        <v>-0.39504215555192634</v>
      </c>
      <c r="BQ131" s="100">
        <f t="shared" si="119"/>
        <v>-0.91834900308522527</v>
      </c>
      <c r="BR131" s="2">
        <f t="shared" ref="BR131:BR194" si="144">BL131/E131*100</f>
        <v>0.17631810538782755</v>
      </c>
      <c r="BS131" s="2">
        <f>+Datos1[[#This Row],[RON acumulado 12 meses]]/Datos1[[#This Row],[PIB nominal (miles de millones de G.)]]*100</f>
        <v>0.11520888797012026</v>
      </c>
      <c r="BT131" s="56">
        <v>214.94674549400003</v>
      </c>
      <c r="BU131" s="56">
        <f>SUMIFS($BT$3:$BT131,$D$3:$D131,D131)</f>
        <v>1596.3693117939997</v>
      </c>
      <c r="BV131" s="56">
        <f t="shared" si="98"/>
        <v>3075.2139333169998</v>
      </c>
      <c r="BW131" s="100">
        <f t="shared" si="112"/>
        <v>0.20027599660748607</v>
      </c>
      <c r="BX131" s="100">
        <f t="shared" si="113"/>
        <v>0.1377544753534532</v>
      </c>
      <c r="BY131" s="100">
        <f t="shared" si="120"/>
        <v>0.140912926780143</v>
      </c>
      <c r="BZ131" s="56">
        <f t="shared" ref="BZ131:BZ194" si="145">BT131*1000/$F$207</f>
        <v>30.913696649611179</v>
      </c>
      <c r="CA131" s="56">
        <f>Datos1[[#This Row],[Adquisición Neta de Activos no Financieros]]/Datos1[[#This Row],[PIB nominal (miles de millones de G.)]]*100</f>
        <v>0.1289309769038911</v>
      </c>
      <c r="CB131" s="56">
        <f>+Datos1[[#This Row],[ANANF acumulado por año]]/Datos1[[#This Row],[PIB nominal (miles de millones de G.)]]*100</f>
        <v>0.9575462721985617</v>
      </c>
      <c r="CC131" s="56">
        <f>+Datos1[[#This Row],[ANANF acumulado 12 meses]]/Datos1[[#This Row],[PIB nominal (miles de millones de G.)]]*100</f>
        <v>1.844597998912646</v>
      </c>
      <c r="CD131" s="4">
        <v>170.71627263400001</v>
      </c>
      <c r="CE131" s="4">
        <f t="shared" ref="CE131:CE194" si="146">CD131*1000/$F$207</f>
        <v>24.552458578662723</v>
      </c>
      <c r="CF131" s="4">
        <f t="shared" ref="CF131:CF194" si="147">+BT131-CD131</f>
        <v>44.23047286000002</v>
      </c>
      <c r="CG131" s="4">
        <f t="shared" ref="CG131:CG194" si="148">CF131*1000/$F$207</f>
        <v>6.3612380709484535</v>
      </c>
      <c r="CH131" s="56">
        <f t="shared" ref="CH131:CH194" si="149">+BL131-BT131</f>
        <v>79.001255482000204</v>
      </c>
      <c r="CI131" s="56">
        <f>SUMIFS($CH$3:$CH131,$D$3:$D131,D131)</f>
        <v>-255.42182981999946</v>
      </c>
      <c r="CJ131" s="56">
        <f t="shared" si="129"/>
        <v>-2883.143911699</v>
      </c>
      <c r="CK131" s="56">
        <f>Datos1[[#This Row],[Resultado Fiscal (miles de millones de G.)]]*1000/$F$207</f>
        <v>11.361981039983496</v>
      </c>
      <c r="CL131" s="56">
        <f t="shared" si="99"/>
        <v>-414.65450467089835</v>
      </c>
      <c r="CM131" s="100">
        <f t="shared" si="114"/>
        <v>-0.76755723195630265</v>
      </c>
      <c r="CN131" s="100">
        <f t="shared" si="115"/>
        <v>-1.3139754712813874</v>
      </c>
      <c r="CO131" s="100">
        <f t="shared" si="121"/>
        <v>7.4039913656736722</v>
      </c>
      <c r="CP131" s="4">
        <f t="shared" ref="CP131:CP194" si="150">+CH131/E131*100</f>
        <v>4.7387128483936454E-2</v>
      </c>
      <c r="CQ131" s="4">
        <f t="shared" si="130"/>
        <v>-1.7293891109425257</v>
      </c>
      <c r="CR131" s="73">
        <v>987.75969254100005</v>
      </c>
      <c r="CS131" s="113">
        <f>SUM(Datos1[[#This Row],[FFPP]:[MTESS]])</f>
        <v>0</v>
      </c>
      <c r="CT131" s="113"/>
      <c r="CU131" s="113"/>
      <c r="CV131" s="113"/>
      <c r="CW131" s="113"/>
      <c r="CX131" s="113"/>
      <c r="CY131" s="113"/>
      <c r="CZ131" s="113"/>
    </row>
    <row r="132" spans="1:104">
      <c r="A132">
        <v>130</v>
      </c>
      <c r="B132" s="3">
        <v>41548</v>
      </c>
      <c r="C132" s="14" t="str">
        <f t="shared" si="132"/>
        <v>Octubre</v>
      </c>
      <c r="D132" s="14">
        <f t="shared" ref="D132:D195" si="151">YEAR(B132)</f>
        <v>2013</v>
      </c>
      <c r="E132" s="15">
        <f t="shared" si="133"/>
        <v>166714.58687094846</v>
      </c>
      <c r="F132" s="15">
        <f t="shared" si="134"/>
        <v>4303.8810946113945</v>
      </c>
      <c r="G132" s="56">
        <v>1649.0058624630001</v>
      </c>
      <c r="H132" s="4">
        <f t="shared" ref="H132:H195" si="152">G132/E132*100</f>
        <v>0.9891191247347022</v>
      </c>
      <c r="I132" s="4">
        <f>SUMIFS($G$3:$G132,$D$3:$D132,D132)</f>
        <v>17304.491869347999</v>
      </c>
      <c r="J132" s="2">
        <f t="shared" si="93"/>
        <v>21097.909264398</v>
      </c>
      <c r="K132" s="95">
        <f t="shared" si="100"/>
        <v>2.737314048829087E-2</v>
      </c>
      <c r="L132" s="95">
        <f t="shared" si="101"/>
        <v>2.3024644596666866E-2</v>
      </c>
      <c r="M132" s="95">
        <f t="shared" si="116"/>
        <v>2.8360812270052715E-2</v>
      </c>
      <c r="N132" s="4">
        <v>1154.1782461719999</v>
      </c>
      <c r="O132" s="4">
        <f t="shared" si="135"/>
        <v>0.69230789448882113</v>
      </c>
      <c r="P132" s="4">
        <f>SUMIFS($N$3:$N132,$D$3:$D132,D132)</f>
        <v>12034.676734527999</v>
      </c>
      <c r="Q132" s="4">
        <f t="shared" si="127"/>
        <v>14453.989190033999</v>
      </c>
      <c r="R132" s="97">
        <f t="shared" si="102"/>
        <v>7.8522426253381905E-2</v>
      </c>
      <c r="S132" s="97">
        <f t="shared" si="103"/>
        <v>5.0944946782487621E-2</v>
      </c>
      <c r="T132" s="97">
        <f t="shared" si="117"/>
        <v>4.519942659928633E-2</v>
      </c>
      <c r="U132" s="4">
        <v>489.45894292641663</v>
      </c>
      <c r="V132" s="4">
        <f t="shared" si="94"/>
        <v>7587.7975253334844</v>
      </c>
      <c r="W132" s="97">
        <f t="shared" si="122"/>
        <v>0.10202849103936029</v>
      </c>
      <c r="X132" s="97">
        <f t="shared" si="104"/>
        <v>0.1552133896299539</v>
      </c>
      <c r="Y132" s="4">
        <v>655.03546312100013</v>
      </c>
      <c r="Z132" s="4">
        <f t="shared" si="95"/>
        <v>6845.7287624290002</v>
      </c>
      <c r="AA132" s="97">
        <f t="shared" si="123"/>
        <v>-5.7308645608042941E-3</v>
      </c>
      <c r="AB132" s="97">
        <f t="shared" si="105"/>
        <v>4.0523096891096344E-2</v>
      </c>
      <c r="AC132" s="4">
        <v>88.814694500000002</v>
      </c>
      <c r="AD132" s="4">
        <f t="shared" si="136"/>
        <v>5.327349943814471E-2</v>
      </c>
      <c r="AE132" s="4">
        <v>103.786340908</v>
      </c>
      <c r="AF132" s="4">
        <f t="shared" si="137"/>
        <v>6.2253905225665485E-2</v>
      </c>
      <c r="AG132" s="4">
        <v>302.226580883</v>
      </c>
      <c r="AH132" s="4">
        <f t="shared" si="138"/>
        <v>70.221870502277113</v>
      </c>
      <c r="AI132" s="4">
        <v>235.21247445400002</v>
      </c>
      <c r="AJ132" s="4">
        <f t="shared" si="139"/>
        <v>33.828319041370854</v>
      </c>
      <c r="AK132" s="101">
        <f>SUMIFS($AJ$3:$AJ132,$D$3:$D132,D132)</f>
        <v>338.90016415764228</v>
      </c>
      <c r="AL132" s="4">
        <v>0</v>
      </c>
      <c r="AM132" s="4">
        <f t="shared" si="140"/>
        <v>0</v>
      </c>
      <c r="AN132" s="101">
        <f>SUMIFS($AM$3:$AM132,$D$3:$D132,D132)</f>
        <v>42.088855032534532</v>
      </c>
      <c r="AO132" s="4">
        <f t="shared" ref="AO132:AO195" si="153">+AG132-AI132-AL132</f>
        <v>67.01410642899998</v>
      </c>
      <c r="AP132" s="56">
        <v>1527.3508070790001</v>
      </c>
      <c r="AQ132" s="4">
        <f t="shared" si="141"/>
        <v>0.9161470725181966</v>
      </c>
      <c r="AR132" s="4">
        <f>SUMIFS($AP$3:$AP132,$D$3:$D132,D132)</f>
        <v>15841.889331989998</v>
      </c>
      <c r="AS132" s="4">
        <f t="shared" si="96"/>
        <v>20815.600179033001</v>
      </c>
      <c r="AT132" s="97">
        <f t="shared" si="106"/>
        <v>-3.3613790148997569E-2</v>
      </c>
      <c r="AU132" s="97">
        <f t="shared" si="107"/>
        <v>8.5401281661565687E-2</v>
      </c>
      <c r="AV132" s="98">
        <f t="shared" si="131"/>
        <v>0.11327322022858044</v>
      </c>
      <c r="AW132" s="4">
        <v>881.066039746</v>
      </c>
      <c r="AX132" s="4">
        <f>SUMIFS($AW$3:$AW132,$D$3:$D132,D132)</f>
        <v>8763.7772585849998</v>
      </c>
      <c r="AY132" s="4">
        <f t="shared" si="97"/>
        <v>11187.156360233997</v>
      </c>
      <c r="AZ132" s="97">
        <f t="shared" si="108"/>
        <v>6.7034780806903171E-2</v>
      </c>
      <c r="BA132" s="97">
        <f t="shared" si="109"/>
        <v>0.11679891601325632</v>
      </c>
      <c r="BB132" s="97">
        <f t="shared" si="124"/>
        <v>0.14815790644060933</v>
      </c>
      <c r="BC132" s="4">
        <v>575.42263747200002</v>
      </c>
      <c r="BD132" s="4">
        <f t="shared" ref="BD132:BD195" si="154">+AW132-BC132</f>
        <v>305.64340227399998</v>
      </c>
      <c r="BE132" s="4">
        <v>90.404079540000012</v>
      </c>
      <c r="BF132" s="4">
        <v>14.606044358</v>
      </c>
      <c r="BG132" s="4">
        <f t="shared" si="142"/>
        <v>2.1006450853501324</v>
      </c>
      <c r="BH132" s="4">
        <f>Datos1[[#This Row],[Intereses]]/Datos1[[#This Row],[PIB nominal (miles de millones de G.)]]*100</f>
        <v>8.7611076104014488E-3</v>
      </c>
      <c r="BI132" s="4">
        <v>259.66013497599999</v>
      </c>
      <c r="BJ132" s="4">
        <v>251.19132636099999</v>
      </c>
      <c r="BK132" s="4">
        <v>30.423182098000005</v>
      </c>
      <c r="BL132" s="56">
        <f t="shared" si="143"/>
        <v>121.65505538399998</v>
      </c>
      <c r="BM132" s="56">
        <f>SUMIFS($BL$3:$BL132,$D$3:$D132,D132)</f>
        <v>1462.6025373580005</v>
      </c>
      <c r="BN132" s="56">
        <f t="shared" si="128"/>
        <v>282.30908536500033</v>
      </c>
      <c r="BO132" s="100">
        <f t="shared" si="110"/>
        <v>2.8723926587987587</v>
      </c>
      <c r="BP132" s="100">
        <f t="shared" si="111"/>
        <v>-0.34937973060326888</v>
      </c>
      <c r="BQ132" s="100">
        <f t="shared" si="119"/>
        <v>-0.84474870084115361</v>
      </c>
      <c r="BR132" s="2">
        <f t="shared" si="144"/>
        <v>7.2972052216505517E-2</v>
      </c>
      <c r="BS132" s="2">
        <f>+Datos1[[#This Row],[RON acumulado 12 meses]]/Datos1[[#This Row],[PIB nominal (miles de millones de G.)]]*100</f>
        <v>0.16933676330526015</v>
      </c>
      <c r="BT132" s="56">
        <v>266.29734855200007</v>
      </c>
      <c r="BU132" s="56">
        <f>SUMIFS($BT$3:$BT132,$D$3:$D132,D132)</f>
        <v>1862.6666603459998</v>
      </c>
      <c r="BV132" s="56">
        <f t="shared" si="98"/>
        <v>3187.449208385</v>
      </c>
      <c r="BW132" s="100">
        <f t="shared" si="112"/>
        <v>0.7285068448702674</v>
      </c>
      <c r="BX132" s="100">
        <f t="shared" si="113"/>
        <v>0.19620263263440374</v>
      </c>
      <c r="BY132" s="100">
        <f t="shared" si="120"/>
        <v>0.20966533530610376</v>
      </c>
      <c r="BZ132" s="56">
        <f t="shared" si="145"/>
        <v>38.298953691122982</v>
      </c>
      <c r="CA132" s="56">
        <f>Datos1[[#This Row],[Adquisición Neta de Activos no Financieros]]/Datos1[[#This Row],[PIB nominal (miles de millones de G.)]]*100</f>
        <v>0.15973248265200532</v>
      </c>
      <c r="CB132" s="56">
        <f>+Datos1[[#This Row],[ANANF acumulado por año]]/Datos1[[#This Row],[PIB nominal (miles de millones de G.)]]*100</f>
        <v>1.1172787548505669</v>
      </c>
      <c r="CC132" s="56">
        <f>+Datos1[[#This Row],[ANANF acumulado 12 meses]]/Datos1[[#This Row],[PIB nominal (miles de millones de G.)]]*100</f>
        <v>1.9119198075045238</v>
      </c>
      <c r="CD132" s="4">
        <v>179.844750084</v>
      </c>
      <c r="CE132" s="4">
        <f t="shared" si="146"/>
        <v>25.865318571558003</v>
      </c>
      <c r="CF132" s="4">
        <f t="shared" si="147"/>
        <v>86.452598468000076</v>
      </c>
      <c r="CG132" s="4">
        <f t="shared" si="148"/>
        <v>12.433635119564979</v>
      </c>
      <c r="CH132" s="56">
        <f t="shared" si="149"/>
        <v>-144.64229316800009</v>
      </c>
      <c r="CI132" s="56">
        <f>SUMIFS($CH$3:$CH132,$D$3:$D132,D132)</f>
        <v>-400.06412298799955</v>
      </c>
      <c r="CJ132" s="56">
        <f t="shared" si="129"/>
        <v>-2905.1401230199995</v>
      </c>
      <c r="CK132" s="56">
        <f>Datos1[[#This Row],[Resultado Fiscal (miles de millones de G.)]]*1000/$F$207</f>
        <v>-20.80249209367302</v>
      </c>
      <c r="CL132" s="56">
        <f t="shared" si="99"/>
        <v>-417.81800548434569</v>
      </c>
      <c r="CM132" s="100">
        <f t="shared" si="114"/>
        <v>0.17934703652775164</v>
      </c>
      <c r="CN132" s="100">
        <f t="shared" si="115"/>
        <v>-1.5790789889797618</v>
      </c>
      <c r="CO132" s="100">
        <f t="shared" si="121"/>
        <v>2.5576765542892006</v>
      </c>
      <c r="CP132" s="4">
        <f t="shared" si="150"/>
        <v>-8.6760430435499775E-2</v>
      </c>
      <c r="CQ132" s="4">
        <f t="shared" si="130"/>
        <v>-1.7425830441992636</v>
      </c>
      <c r="CR132" s="73">
        <v>965.43240279500003</v>
      </c>
      <c r="CS132" s="113">
        <f>SUM(Datos1[[#This Row],[FFPP]:[MTESS]])</f>
        <v>0</v>
      </c>
      <c r="CT132" s="113"/>
      <c r="CU132" s="113"/>
      <c r="CV132" s="113"/>
      <c r="CW132" s="113"/>
      <c r="CX132" s="113"/>
      <c r="CY132" s="113"/>
      <c r="CZ132" s="113"/>
    </row>
    <row r="133" spans="1:104">
      <c r="A133">
        <v>131</v>
      </c>
      <c r="B133" s="3">
        <v>41579</v>
      </c>
      <c r="C133" s="14" t="str">
        <f t="shared" si="132"/>
        <v>Noviembre</v>
      </c>
      <c r="D133" s="14">
        <f t="shared" si="151"/>
        <v>2013</v>
      </c>
      <c r="E133" s="15">
        <f t="shared" si="133"/>
        <v>166714.58687094846</v>
      </c>
      <c r="F133" s="15">
        <f t="shared" si="134"/>
        <v>4303.8810946113945</v>
      </c>
      <c r="G133" s="56">
        <v>1971.1223836290003</v>
      </c>
      <c r="H133" s="4">
        <f t="shared" si="152"/>
        <v>1.1823334842048463</v>
      </c>
      <c r="I133" s="4">
        <f>SUMIFS($G$3:$G133,$D$3:$D133,D133)</f>
        <v>19275.614252977</v>
      </c>
      <c r="J133" s="2">
        <f t="shared" si="93"/>
        <v>21131.665181918001</v>
      </c>
      <c r="K133" s="95">
        <f t="shared" si="100"/>
        <v>2.6346779189958092E-2</v>
      </c>
      <c r="L133" s="95">
        <f t="shared" si="101"/>
        <v>1.7423609890283354E-2</v>
      </c>
      <c r="M133" s="95">
        <f t="shared" si="116"/>
        <v>2.4061676296916135E-2</v>
      </c>
      <c r="N133" s="4">
        <v>1540.4480582150002</v>
      </c>
      <c r="O133" s="4">
        <f t="shared" si="135"/>
        <v>0.92400316440662766</v>
      </c>
      <c r="P133" s="4">
        <f>SUMIFS($N$3:$N133,$D$3:$D133,D133)</f>
        <v>13575.124792742999</v>
      </c>
      <c r="Q133" s="4">
        <f t="shared" si="127"/>
        <v>14600.409654920999</v>
      </c>
      <c r="R133" s="97">
        <f t="shared" si="102"/>
        <v>0.1050341224146405</v>
      </c>
      <c r="S133" s="97">
        <f t="shared" si="103"/>
        <v>5.6814929763010502E-2</v>
      </c>
      <c r="T133" s="97">
        <f t="shared" si="117"/>
        <v>4.9039407534577251E-2</v>
      </c>
      <c r="U133" s="4">
        <v>945.88998839041665</v>
      </c>
      <c r="V133" s="4">
        <f t="shared" si="94"/>
        <v>7745.7390765332411</v>
      </c>
      <c r="W133" s="97">
        <f t="shared" si="122"/>
        <v>0.10360439793342358</v>
      </c>
      <c r="X133" s="97">
        <f t="shared" si="104"/>
        <v>0.20044655683674062</v>
      </c>
      <c r="Y133" s="4">
        <v>597.68867919600018</v>
      </c>
      <c r="Z133" s="4">
        <f t="shared" si="95"/>
        <v>6842.8240945980015</v>
      </c>
      <c r="AA133" s="97">
        <f t="shared" si="123"/>
        <v>1.5258326997438232E-3</v>
      </c>
      <c r="AB133" s="97">
        <f t="shared" si="105"/>
        <v>-4.8363303479435071E-3</v>
      </c>
      <c r="AC133" s="4">
        <v>62.748764741000002</v>
      </c>
      <c r="AD133" s="4">
        <f t="shared" si="136"/>
        <v>3.7638436995062099E-2</v>
      </c>
      <c r="AE133" s="4">
        <v>63.812243105</v>
      </c>
      <c r="AF133" s="4">
        <f t="shared" si="137"/>
        <v>3.8276340602634976E-2</v>
      </c>
      <c r="AG133" s="4">
        <v>304.11331756800001</v>
      </c>
      <c r="AH133" s="4">
        <f t="shared" si="138"/>
        <v>70.660250802179505</v>
      </c>
      <c r="AI133" s="4">
        <v>176.62968455200001</v>
      </c>
      <c r="AJ133" s="4">
        <f t="shared" si="139"/>
        <v>25.4029270134237</v>
      </c>
      <c r="AK133" s="101">
        <f>SUMIFS($AJ$3:$AJ133,$D$3:$D133,D133)</f>
        <v>364.303091171066</v>
      </c>
      <c r="AL133" s="4">
        <v>44.21</v>
      </c>
      <c r="AM133" s="4">
        <f t="shared" si="140"/>
        <v>6.3582936589168311</v>
      </c>
      <c r="AN133" s="101">
        <f>SUMIFS($AM$3:$AM133,$D$3:$D133,D133)</f>
        <v>48.44714869145136</v>
      </c>
      <c r="AO133" s="4">
        <f t="shared" si="153"/>
        <v>83.273633015999991</v>
      </c>
      <c r="AP133" s="56">
        <v>1625.1471948199999</v>
      </c>
      <c r="AQ133" s="4">
        <f t="shared" si="141"/>
        <v>0.97480803888984513</v>
      </c>
      <c r="AR133" s="4">
        <f>SUMIFS($AP$3:$AP133,$D$3:$D133,D133)</f>
        <v>17467.036526809999</v>
      </c>
      <c r="AS133" s="4">
        <f t="shared" si="96"/>
        <v>20311.964838321001</v>
      </c>
      <c r="AT133" s="97">
        <f t="shared" si="106"/>
        <v>-0.23658374319861553</v>
      </c>
      <c r="AU133" s="97">
        <f t="shared" si="107"/>
        <v>4.4416605124551367E-2</v>
      </c>
      <c r="AV133" s="98">
        <f t="shared" si="131"/>
        <v>4.0339872819591394E-2</v>
      </c>
      <c r="AW133" s="4">
        <v>891.09194008099996</v>
      </c>
      <c r="AX133" s="4">
        <f>SUMIFS($AW$3:$AW133,$D$3:$D133,D133)</f>
        <v>9654.8691986659996</v>
      </c>
      <c r="AY133" s="4">
        <f t="shared" si="97"/>
        <v>11254.158019497998</v>
      </c>
      <c r="AZ133" s="97">
        <f t="shared" si="108"/>
        <v>8.1303785305627985E-2</v>
      </c>
      <c r="BA133" s="97">
        <f t="shared" si="109"/>
        <v>0.11342558953044657</v>
      </c>
      <c r="BB133" s="97">
        <f t="shared" si="124"/>
        <v>0.13228503637654798</v>
      </c>
      <c r="BC133" s="4">
        <v>577.56255097600001</v>
      </c>
      <c r="BD133" s="4">
        <f t="shared" si="154"/>
        <v>313.52938910499995</v>
      </c>
      <c r="BE133" s="4">
        <v>150.47981871100001</v>
      </c>
      <c r="BF133" s="4">
        <v>28.111498447000002</v>
      </c>
      <c r="BG133" s="4">
        <f t="shared" si="142"/>
        <v>4.0430029929475335</v>
      </c>
      <c r="BH133" s="4">
        <f>Datos1[[#This Row],[Intereses]]/Datos1[[#This Row],[PIB nominal (miles de millones de G.)]]*100</f>
        <v>1.6862050870666008E-2</v>
      </c>
      <c r="BI133" s="4">
        <v>255.64611572399997</v>
      </c>
      <c r="BJ133" s="4">
        <v>241.78250998600001</v>
      </c>
      <c r="BK133" s="4">
        <v>58.035311870999998</v>
      </c>
      <c r="BL133" s="56">
        <f t="shared" si="143"/>
        <v>345.97518880900043</v>
      </c>
      <c r="BM133" s="56">
        <f>SUMIFS($BL$3:$BL133,$D$3:$D133,D133)</f>
        <v>1808.5777261670009</v>
      </c>
      <c r="BN133" s="56">
        <f t="shared" si="128"/>
        <v>819.70034359700071</v>
      </c>
      <c r="BO133" s="100">
        <f t="shared" si="110"/>
        <v>-2.8074511186646962</v>
      </c>
      <c r="BP133" s="100">
        <f t="shared" si="111"/>
        <v>-0.12059670698512592</v>
      </c>
      <c r="BQ133" s="100">
        <f t="shared" si="119"/>
        <v>-0.26205912336787529</v>
      </c>
      <c r="BR133" s="2">
        <f t="shared" si="144"/>
        <v>0.20752544531500128</v>
      </c>
      <c r="BS133" s="2">
        <f>+Datos1[[#This Row],[RON acumulado 12 meses]]/Datos1[[#This Row],[PIB nominal (miles de millones de G.)]]*100</f>
        <v>0.49167883805603635</v>
      </c>
      <c r="BT133" s="56">
        <v>360.14814794200004</v>
      </c>
      <c r="BU133" s="56">
        <f>SUMIFS($BT$3:$BT133,$D$3:$D133,D133)</f>
        <v>2222.8148082879998</v>
      </c>
      <c r="BV133" s="56">
        <f t="shared" si="98"/>
        <v>2903.7032805360004</v>
      </c>
      <c r="BW133" s="100">
        <f t="shared" si="112"/>
        <v>-0.44067174791199704</v>
      </c>
      <c r="BX133" s="100">
        <f t="shared" si="113"/>
        <v>9.8911965872345853E-3</v>
      </c>
      <c r="BY133" s="100">
        <f t="shared" si="120"/>
        <v>-1.1566234329899117E-2</v>
      </c>
      <c r="BZ133" s="56">
        <f t="shared" si="145"/>
        <v>51.796599984850921</v>
      </c>
      <c r="CA133" s="56">
        <f>Datos1[[#This Row],[Adquisición Neta de Activos no Financieros]]/Datos1[[#This Row],[PIB nominal (miles de millones de G.)]]*100</f>
        <v>0.21602677648164398</v>
      </c>
      <c r="CB133" s="56">
        <f>+Datos1[[#This Row],[ANANF acumulado por año]]/Datos1[[#This Row],[PIB nominal (miles de millones de G.)]]*100</f>
        <v>1.3333055313322109</v>
      </c>
      <c r="CC133" s="56">
        <f>+Datos1[[#This Row],[ANANF acumulado 12 meses]]/Datos1[[#This Row],[PIB nominal (miles de millones de G.)]]*100</f>
        <v>1.7417211865112427</v>
      </c>
      <c r="CD133" s="4">
        <v>235.98392589499997</v>
      </c>
      <c r="CE133" s="4">
        <f t="shared" si="146"/>
        <v>33.939269387570178</v>
      </c>
      <c r="CF133" s="4">
        <f t="shared" si="147"/>
        <v>124.16422204700007</v>
      </c>
      <c r="CG133" s="4">
        <f t="shared" si="148"/>
        <v>17.857330597280747</v>
      </c>
      <c r="CH133" s="56">
        <f t="shared" si="149"/>
        <v>-14.172959132999608</v>
      </c>
      <c r="CI133" s="56">
        <f>SUMIFS($CH$3:$CH133,$D$3:$D133,D133)</f>
        <v>-414.23708212099916</v>
      </c>
      <c r="CJ133" s="56">
        <f t="shared" si="129"/>
        <v>-2084.002936938999</v>
      </c>
      <c r="CK133" s="56">
        <f>Datos1[[#This Row],[Resultado Fiscal (miles de millones de G.)]]*1000/$F$207</f>
        <v>-2.0383586560379729</v>
      </c>
      <c r="CL133" s="56">
        <f t="shared" si="99"/>
        <v>-299.72184254927146</v>
      </c>
      <c r="CM133" s="100">
        <f t="shared" si="114"/>
        <v>-0.98303269843637708</v>
      </c>
      <c r="CN133" s="100">
        <f t="shared" si="115"/>
        <v>1.8677372929702649</v>
      </c>
      <c r="CO133" s="100">
        <f t="shared" si="121"/>
        <v>0.14073984379056359</v>
      </c>
      <c r="CP133" s="4">
        <f t="shared" si="150"/>
        <v>-8.5013311666427283E-3</v>
      </c>
      <c r="CQ133" s="4">
        <f t="shared" si="130"/>
        <v>-1.2500423484552061</v>
      </c>
      <c r="CR133" s="73">
        <v>974.67105385800005</v>
      </c>
      <c r="CS133" s="113">
        <f>SUM(Datos1[[#This Row],[FFPP]:[MTESS]])</f>
        <v>0</v>
      </c>
      <c r="CT133" s="113"/>
      <c r="CU133" s="113"/>
      <c r="CV133" s="113"/>
      <c r="CW133" s="113"/>
      <c r="CX133" s="113"/>
      <c r="CY133" s="113"/>
      <c r="CZ133" s="113"/>
    </row>
    <row r="134" spans="1:104">
      <c r="A134">
        <v>132</v>
      </c>
      <c r="B134" s="3">
        <v>41609</v>
      </c>
      <c r="C134" s="14" t="str">
        <f t="shared" si="132"/>
        <v>Diciembre</v>
      </c>
      <c r="D134" s="14">
        <f t="shared" si="151"/>
        <v>2013</v>
      </c>
      <c r="E134" s="15">
        <f t="shared" si="133"/>
        <v>166714.58687094846</v>
      </c>
      <c r="F134" s="15">
        <f t="shared" si="134"/>
        <v>4303.8810946113945</v>
      </c>
      <c r="G134" s="56">
        <v>2173.4854480150002</v>
      </c>
      <c r="H134" s="4">
        <f t="shared" si="152"/>
        <v>1.3037164226652023</v>
      </c>
      <c r="I134" s="4">
        <f>SUMIFS($G$3:$G134,$D$3:$D134,D134)</f>
        <v>21449.099700991999</v>
      </c>
      <c r="J134" s="2">
        <f t="shared" si="93"/>
        <v>21449.099700991999</v>
      </c>
      <c r="K134" s="95">
        <f t="shared" si="100"/>
        <v>3.93591107521154E-2</v>
      </c>
      <c r="L134" s="95">
        <f t="shared" si="101"/>
        <v>0.17102683666935681</v>
      </c>
      <c r="M134" s="95">
        <f t="shared" si="116"/>
        <v>3.93591107521154E-2</v>
      </c>
      <c r="N134" s="4">
        <v>1214.4530106960001</v>
      </c>
      <c r="O134" s="4">
        <f t="shared" si="135"/>
        <v>0.72846235802755033</v>
      </c>
      <c r="P134" s="4">
        <f>SUMIFS($N$3:$N134,$D$3:$D134,D134)</f>
        <v>14789.577803438999</v>
      </c>
      <c r="Q134" s="4">
        <f t="shared" si="127"/>
        <v>14789.577803438999</v>
      </c>
      <c r="R134" s="97">
        <f t="shared" si="102"/>
        <v>0.18450301520706414</v>
      </c>
      <c r="S134" s="97">
        <f t="shared" si="103"/>
        <v>6.6253355322283491E-2</v>
      </c>
      <c r="T134" s="97">
        <f t="shared" si="117"/>
        <v>6.6253355322283491E-2</v>
      </c>
      <c r="U134" s="4">
        <v>506.87237794941672</v>
      </c>
      <c r="V134" s="4">
        <f t="shared" si="94"/>
        <v>7809.0097090280005</v>
      </c>
      <c r="W134" s="97">
        <f t="shared" si="122"/>
        <v>0.10568285845168757</v>
      </c>
      <c r="X134" s="97">
        <f t="shared" si="104"/>
        <v>0.14262935875040483</v>
      </c>
      <c r="Y134" s="4">
        <v>650.40979785500008</v>
      </c>
      <c r="Z134" s="4">
        <f t="shared" si="95"/>
        <v>6939.8065154300011</v>
      </c>
      <c r="AA134" s="97">
        <f t="shared" si="123"/>
        <v>2.4506300002399728E-2</v>
      </c>
      <c r="AB134" s="97">
        <f t="shared" si="105"/>
        <v>0.17523965177452649</v>
      </c>
      <c r="AC134" s="4">
        <v>504.73855024299996</v>
      </c>
      <c r="AD134" s="4">
        <f t="shared" si="136"/>
        <v>0.30275608134620596</v>
      </c>
      <c r="AE134" s="4">
        <v>108.163562985</v>
      </c>
      <c r="AF134" s="4">
        <f t="shared" si="137"/>
        <v>6.4879483562363963E-2</v>
      </c>
      <c r="AG134" s="4">
        <v>346.13032409099998</v>
      </c>
      <c r="AH134" s="4">
        <f t="shared" si="138"/>
        <v>80.422836152320031</v>
      </c>
      <c r="AI134" s="4">
        <v>195.20390645500001</v>
      </c>
      <c r="AJ134" s="4">
        <f t="shared" si="139"/>
        <v>28.074276421819064</v>
      </c>
      <c r="AK134" s="101">
        <f>SUMIFS($AJ$3:$AJ134,$D$3:$D134,D134)</f>
        <v>392.37736759288509</v>
      </c>
      <c r="AL134" s="4">
        <v>77.39</v>
      </c>
      <c r="AM134" s="4">
        <f t="shared" si="140"/>
        <v>11.130249858936294</v>
      </c>
      <c r="AN134" s="101">
        <f>SUMIFS($AM$3:$AM134,$D$3:$D134,D134)</f>
        <v>59.577398550387656</v>
      </c>
      <c r="AO134" s="4">
        <f t="shared" si="153"/>
        <v>73.536417635999968</v>
      </c>
      <c r="AP134" s="56">
        <v>3168.2715981939991</v>
      </c>
      <c r="AQ134" s="4">
        <f t="shared" si="141"/>
        <v>1.9004165488209595</v>
      </c>
      <c r="AR134" s="4">
        <f>SUMIFS($AP$3:$AP134,$D$3:$D134,D134)</f>
        <v>20635.308125003998</v>
      </c>
      <c r="AS134" s="4">
        <f t="shared" si="96"/>
        <v>20635.308125003998</v>
      </c>
      <c r="AT134" s="97">
        <f t="shared" si="106"/>
        <v>0.11365604025054132</v>
      </c>
      <c r="AU134" s="97">
        <f t="shared" si="107"/>
        <v>5.4482520391957445E-2</v>
      </c>
      <c r="AV134" s="98">
        <f t="shared" si="131"/>
        <v>5.4482520391957445E-2</v>
      </c>
      <c r="AW134" s="4">
        <v>1784.8486057459995</v>
      </c>
      <c r="AX134" s="4">
        <f>SUMIFS($AW$3:$AW134,$D$3:$D134,D134)</f>
        <v>11439.717804411999</v>
      </c>
      <c r="AY134" s="4">
        <f t="shared" si="97"/>
        <v>11439.717804411999</v>
      </c>
      <c r="AZ134" s="97">
        <f t="shared" si="108"/>
        <v>0.11602643781219291</v>
      </c>
      <c r="BA134" s="97">
        <f t="shared" si="109"/>
        <v>0.11383058087945397</v>
      </c>
      <c r="BB134" s="97">
        <f t="shared" si="124"/>
        <v>0.11383058087945397</v>
      </c>
      <c r="BC134" s="4">
        <v>572.79013688400005</v>
      </c>
      <c r="BD134" s="4">
        <f t="shared" si="154"/>
        <v>1212.0584688619995</v>
      </c>
      <c r="BE134" s="4">
        <v>238.85608701000001</v>
      </c>
      <c r="BF134" s="4">
        <v>66.868354703000008</v>
      </c>
      <c r="BG134" s="4">
        <f t="shared" si="142"/>
        <v>9.6170241051863012</v>
      </c>
      <c r="BH134" s="4">
        <f>Datos1[[#This Row],[Intereses]]/Datos1[[#This Row],[PIB nominal (miles de millones de G.)]]*100</f>
        <v>4.0109480494806317E-2</v>
      </c>
      <c r="BI134" s="4">
        <v>604.29916230699996</v>
      </c>
      <c r="BJ134" s="4">
        <v>399.88838369799998</v>
      </c>
      <c r="BK134" s="4">
        <v>73.511004729999996</v>
      </c>
      <c r="BL134" s="56">
        <f t="shared" si="143"/>
        <v>-994.78615017899892</v>
      </c>
      <c r="BM134" s="56">
        <f>SUMIFS($BL$3:$BL134,$D$3:$D134,D134)</f>
        <v>813.79157598800202</v>
      </c>
      <c r="BN134" s="56">
        <f t="shared" si="128"/>
        <v>813.79157598800202</v>
      </c>
      <c r="BO134" s="100">
        <f t="shared" si="110"/>
        <v>5.9752277816713661E-3</v>
      </c>
      <c r="BP134" s="100">
        <f t="shared" si="111"/>
        <v>-0.2378224104748824</v>
      </c>
      <c r="BQ134" s="100">
        <f t="shared" si="119"/>
        <v>-0.2378224104748824</v>
      </c>
      <c r="BR134" s="2">
        <f t="shared" si="144"/>
        <v>-0.59670012615575718</v>
      </c>
      <c r="BS134" s="2">
        <f>+Datos1[[#This Row],[RON acumulado 12 meses]]/Datos1[[#This Row],[PIB nominal (miles de millones de G.)]]*100</f>
        <v>0.48813459653530333</v>
      </c>
      <c r="BT134" s="56">
        <v>700.27334742699986</v>
      </c>
      <c r="BU134" s="56">
        <f>SUMIFS($BT$3:$BT134,$D$3:$D134,D134)</f>
        <v>2923.0881557149996</v>
      </c>
      <c r="BV134" s="56">
        <f t="shared" si="98"/>
        <v>2923.0881557149996</v>
      </c>
      <c r="BW134" s="100">
        <f t="shared" si="112"/>
        <v>2.8469971176041886E-2</v>
      </c>
      <c r="BX134" s="100">
        <f t="shared" si="113"/>
        <v>1.4280638124279932E-2</v>
      </c>
      <c r="BY134" s="100">
        <f t="shared" si="120"/>
        <v>1.4280638124279932E-2</v>
      </c>
      <c r="BZ134" s="56">
        <f t="shared" si="145"/>
        <v>100.71349433281058</v>
      </c>
      <c r="CA134" s="56">
        <f>Datos1[[#This Row],[Adquisición Neta de Activos no Financieros]]/Datos1[[#This Row],[PIB nominal (miles de millones de G.)]]*100</f>
        <v>0.420043237109823</v>
      </c>
      <c r="CB134" s="56">
        <f>+Datos1[[#This Row],[ANANF acumulado por año]]/Datos1[[#This Row],[PIB nominal (miles de millones de G.)]]*100</f>
        <v>1.7533487684420339</v>
      </c>
      <c r="CC134" s="56">
        <f>+Datos1[[#This Row],[ANANF acumulado 12 meses]]/Datos1[[#This Row],[PIB nominal (miles de millones de G.)]]*100</f>
        <v>1.7533487684420339</v>
      </c>
      <c r="CD134" s="4">
        <v>480.56374252099999</v>
      </c>
      <c r="CE134" s="4">
        <f t="shared" si="146"/>
        <v>69.114802008066377</v>
      </c>
      <c r="CF134" s="4">
        <f t="shared" si="147"/>
        <v>219.70960490599987</v>
      </c>
      <c r="CG134" s="4">
        <f t="shared" si="148"/>
        <v>31.598692324744203</v>
      </c>
      <c r="CH134" s="56">
        <f t="shared" si="149"/>
        <v>-1695.0594976059988</v>
      </c>
      <c r="CI134" s="56">
        <f>SUMIFS($CH$3:$CH134,$D$3:$D134,D134)</f>
        <v>-2109.2965797269981</v>
      </c>
      <c r="CJ134" s="56">
        <f t="shared" si="129"/>
        <v>-2109.2965797269981</v>
      </c>
      <c r="CK134" s="56">
        <f>Datos1[[#This Row],[Resultado Fiscal (miles de millones de G.)]]*1000/$F$207</f>
        <v>-243.7838962930326</v>
      </c>
      <c r="CL134" s="56">
        <f t="shared" si="99"/>
        <v>-303.35958081097334</v>
      </c>
      <c r="CM134" s="100">
        <f t="shared" si="114"/>
        <v>1.514801773854435E-2</v>
      </c>
      <c r="CN134" s="100">
        <f t="shared" si="115"/>
        <v>0.16265087372441878</v>
      </c>
      <c r="CO134" s="100">
        <f t="shared" si="121"/>
        <v>0.16265087372441878</v>
      </c>
      <c r="CP134" s="4">
        <f t="shared" si="150"/>
        <v>-1.01674336326558</v>
      </c>
      <c r="CQ134" s="4">
        <f t="shared" si="130"/>
        <v>-1.2652141719067307</v>
      </c>
      <c r="CR134" s="73">
        <v>1920.4459890749999</v>
      </c>
      <c r="CS134" s="113">
        <f>SUM(Datos1[[#This Row],[FFPP]:[MTESS]])</f>
        <v>0</v>
      </c>
      <c r="CT134" s="113"/>
      <c r="CU134" s="113"/>
      <c r="CV134" s="113"/>
      <c r="CW134" s="113"/>
      <c r="CX134" s="113"/>
      <c r="CY134" s="113"/>
      <c r="CZ134" s="113"/>
    </row>
    <row r="135" spans="1:104">
      <c r="A135">
        <v>133</v>
      </c>
      <c r="B135" s="76">
        <v>41640</v>
      </c>
      <c r="C135" s="14" t="str">
        <f t="shared" si="132"/>
        <v>Enero</v>
      </c>
      <c r="D135" s="14">
        <f t="shared" si="151"/>
        <v>2014</v>
      </c>
      <c r="E135" s="15">
        <f t="shared" si="133"/>
        <v>179721.60920865697</v>
      </c>
      <c r="F135" s="15">
        <f t="shared" si="134"/>
        <v>4462.2360777646109</v>
      </c>
      <c r="G135" s="56">
        <v>1680.9850145109999</v>
      </c>
      <c r="H135" s="4">
        <f t="shared" si="152"/>
        <v>0.93532715509984932</v>
      </c>
      <c r="I135" s="4">
        <f>SUMIFS($G$3:$G135,$D$3:$D135,D135)</f>
        <v>1680.9850145109999</v>
      </c>
      <c r="J135" s="2">
        <f t="shared" si="93"/>
        <v>21365.106502374998</v>
      </c>
      <c r="K135" s="95">
        <f t="shared" si="100"/>
        <v>-4.7588801942286985E-2</v>
      </c>
      <c r="L135" s="95">
        <f t="shared" si="101"/>
        <v>-4.7588801942286985E-2</v>
      </c>
      <c r="M135" s="95">
        <f t="shared" si="116"/>
        <v>2.3581005384118114E-2</v>
      </c>
      <c r="N135" s="4">
        <v>1305.1491771819999</v>
      </c>
      <c r="O135" s="4">
        <f t="shared" si="135"/>
        <v>0.72620603773179015</v>
      </c>
      <c r="P135" s="4">
        <f>SUMIFS($N$3:$N135,$D$3:$D135,D135)</f>
        <v>1305.1491771819999</v>
      </c>
      <c r="Q135" s="4">
        <f t="shared" si="127"/>
        <v>14948.188799379001</v>
      </c>
      <c r="R135" s="97">
        <f t="shared" si="102"/>
        <v>0.13833904403269237</v>
      </c>
      <c r="S135" s="97">
        <f t="shared" si="103"/>
        <v>0.13833904403269237</v>
      </c>
      <c r="T135" s="97">
        <f t="shared" si="117"/>
        <v>6.5860194433948749E-2</v>
      </c>
      <c r="U135" s="4">
        <v>716.0337717299999</v>
      </c>
      <c r="V135" s="4">
        <f t="shared" si="94"/>
        <v>7969.7761892345834</v>
      </c>
      <c r="W135" s="97">
        <f t="shared" si="122"/>
        <v>0.11730497493017689</v>
      </c>
      <c r="X135" s="97">
        <f t="shared" si="104"/>
        <v>0.28952989427039433</v>
      </c>
      <c r="Y135" s="4">
        <v>579.26430981700003</v>
      </c>
      <c r="Z135" s="4">
        <f t="shared" si="95"/>
        <v>6966.6181709970015</v>
      </c>
      <c r="AA135" s="97">
        <f t="shared" si="123"/>
        <v>2.2524689122042085E-2</v>
      </c>
      <c r="AB135" s="97">
        <f t="shared" si="105"/>
        <v>4.8532042267765085E-2</v>
      </c>
      <c r="AC135" s="4">
        <v>14.753628392000001</v>
      </c>
      <c r="AD135" s="4">
        <f t="shared" si="136"/>
        <v>8.2091566267198431E-3</v>
      </c>
      <c r="AE135" s="4">
        <v>16.045117273999999</v>
      </c>
      <c r="AF135" s="4">
        <f t="shared" si="137"/>
        <v>8.9277618560445905E-3</v>
      </c>
      <c r="AG135" s="4">
        <v>345.03709166300001</v>
      </c>
      <c r="AH135" s="4">
        <f t="shared" si="138"/>
        <v>77.323809330108062</v>
      </c>
      <c r="AI135" s="4">
        <v>244.34436211400001</v>
      </c>
      <c r="AJ135" s="4">
        <f t="shared" si="139"/>
        <v>35.141669491552236</v>
      </c>
      <c r="AK135" s="101">
        <f>SUMIFS($AJ$3:$AJ135,$D$3:$D135,D135)</f>
        <v>35.141669491552236</v>
      </c>
      <c r="AL135" s="4">
        <v>18.416</v>
      </c>
      <c r="AM135" s="4">
        <f t="shared" si="140"/>
        <v>2.6485938932959141</v>
      </c>
      <c r="AN135" s="101">
        <f>SUMIFS($AM$3:$AM135,$D$3:$D135,D135)</f>
        <v>2.6485938932959141</v>
      </c>
      <c r="AO135" s="4">
        <f t="shared" si="153"/>
        <v>82.276729549000009</v>
      </c>
      <c r="AP135" s="56">
        <v>1351.0469917869998</v>
      </c>
      <c r="AQ135" s="4">
        <f t="shared" si="141"/>
        <v>0.75174432152921178</v>
      </c>
      <c r="AR135" s="4">
        <f>SUMIFS($AP$3:$AP135,$D$3:$D135,D135)</f>
        <v>1351.0469917869998</v>
      </c>
      <c r="AS135" s="4">
        <f t="shared" si="96"/>
        <v>20323.954023822997</v>
      </c>
      <c r="AT135" s="97">
        <f t="shared" si="106"/>
        <v>-0.18729180490679198</v>
      </c>
      <c r="AU135" s="97">
        <f t="shared" si="107"/>
        <v>-0.18729180490679198</v>
      </c>
      <c r="AV135" s="98">
        <f t="shared" si="131"/>
        <v>1.8719455156355203E-3</v>
      </c>
      <c r="AW135" s="4">
        <v>857.31783111799996</v>
      </c>
      <c r="AX135" s="4">
        <f>SUMIFS($AW$3:$AW135,$D$3:$D135,D135)</f>
        <v>857.31783111799996</v>
      </c>
      <c r="AY135" s="4">
        <f t="shared" si="97"/>
        <v>11491.835493515</v>
      </c>
      <c r="AZ135" s="97">
        <f t="shared" si="108"/>
        <v>6.4726378428816789E-2</v>
      </c>
      <c r="BA135" s="97">
        <f t="shared" si="109"/>
        <v>6.4726378428816789E-2</v>
      </c>
      <c r="BB135" s="97">
        <f t="shared" si="124"/>
        <v>0.10439103411580719</v>
      </c>
      <c r="BC135" s="4">
        <v>578.28392999300002</v>
      </c>
      <c r="BD135" s="4">
        <f t="shared" si="154"/>
        <v>279.03390112499994</v>
      </c>
      <c r="BE135" s="4">
        <v>35.938703498999999</v>
      </c>
      <c r="BF135" s="4">
        <v>70.994051287999994</v>
      </c>
      <c r="BG135" s="4">
        <f t="shared" si="142"/>
        <v>10.210382857392142</v>
      </c>
      <c r="BH135" s="4">
        <f>Datos1[[#This Row],[Intereses]]/Datos1[[#This Row],[PIB nominal (miles de millones de G.)]]*100</f>
        <v>3.9502234372704635E-2</v>
      </c>
      <c r="BI135" s="4">
        <v>145.00294764100002</v>
      </c>
      <c r="BJ135" s="4">
        <v>238.43966071700001</v>
      </c>
      <c r="BK135" s="4">
        <v>3.353797524</v>
      </c>
      <c r="BL135" s="56">
        <f t="shared" si="143"/>
        <v>329.93802272400012</v>
      </c>
      <c r="BM135" s="56">
        <f>SUMIFS($BL$3:$BL135,$D$3:$D135,D135)</f>
        <v>329.93802272400012</v>
      </c>
      <c r="BN135" s="56">
        <f t="shared" si="128"/>
        <v>1041.1524785520025</v>
      </c>
      <c r="BO135" s="100">
        <f t="shared" si="110"/>
        <v>2.216487479950338</v>
      </c>
      <c r="BP135" s="100">
        <f t="shared" si="111"/>
        <v>2.216487479950338</v>
      </c>
      <c r="BQ135" s="100">
        <f t="shared" si="119"/>
        <v>0.77391754565074544</v>
      </c>
      <c r="BR135" s="2">
        <f t="shared" si="144"/>
        <v>0.18358283357063743</v>
      </c>
      <c r="BS135" s="2">
        <f>+Datos1[[#This Row],[RON acumulado 12 meses]]/Datos1[[#This Row],[PIB nominal (miles de millones de G.)]]*100</f>
        <v>0.5793140196865384</v>
      </c>
      <c r="BT135" s="56">
        <v>52.945668927</v>
      </c>
      <c r="BU135" s="56">
        <f>SUMIFS($BT$3:$BT135,$D$3:$D135,D135)</f>
        <v>52.945668927</v>
      </c>
      <c r="BV135" s="56">
        <f t="shared" si="98"/>
        <v>2697.0873046289998</v>
      </c>
      <c r="BW135" s="100">
        <f t="shared" si="112"/>
        <v>-0.81019419448382968</v>
      </c>
      <c r="BX135" s="100">
        <f t="shared" si="113"/>
        <v>-0.81019419448382968</v>
      </c>
      <c r="BY135" s="100">
        <f t="shared" si="120"/>
        <v>-0.13910534112725836</v>
      </c>
      <c r="BZ135" s="56">
        <f t="shared" si="145"/>
        <v>7.6146598282210807</v>
      </c>
      <c r="CA135" s="56">
        <f>Datos1[[#This Row],[Adquisición Neta de Activos no Financieros]]/Datos1[[#This Row],[PIB nominal (miles de millones de G.)]]*100</f>
        <v>2.9459823534926193E-2</v>
      </c>
      <c r="CB135" s="56">
        <f>+Datos1[[#This Row],[ANANF acumulado por año]]/Datos1[[#This Row],[PIB nominal (miles de millones de G.)]]*100</f>
        <v>2.9459823534926193E-2</v>
      </c>
      <c r="CC135" s="56">
        <f>+Datos1[[#This Row],[ANANF acumulado 12 meses]]/Datos1[[#This Row],[PIB nominal (miles de millones de G.)]]*100</f>
        <v>1.5007028461990226</v>
      </c>
      <c r="CD135" s="4">
        <v>45.870092392000004</v>
      </c>
      <c r="CE135" s="4">
        <f t="shared" si="146"/>
        <v>6.5970485770183851</v>
      </c>
      <c r="CF135" s="4">
        <f t="shared" si="147"/>
        <v>7.0755765349999962</v>
      </c>
      <c r="CG135" s="4">
        <f t="shared" si="148"/>
        <v>1.0176112512026962</v>
      </c>
      <c r="CH135" s="56">
        <f t="shared" si="149"/>
        <v>276.99235379700013</v>
      </c>
      <c r="CI135" s="56">
        <f>SUMIFS($CH$3:$CH135,$D$3:$D135,D135)</f>
        <v>276.99235379700013</v>
      </c>
      <c r="CJ135" s="56">
        <f t="shared" si="129"/>
        <v>-1655.9348260769975</v>
      </c>
      <c r="CK135" s="56">
        <f>Datos1[[#This Row],[Resultado Fiscal (miles de millones de G.)]]*1000/$F$207</f>
        <v>39.837112117528008</v>
      </c>
      <c r="CL135" s="56">
        <f t="shared" si="99"/>
        <v>-238.15697589289567</v>
      </c>
      <c r="CM135" s="100">
        <f t="shared" si="114"/>
        <v>-2.5705238778828217</v>
      </c>
      <c r="CN135" s="100">
        <f t="shared" si="115"/>
        <v>-2.5705238778828217</v>
      </c>
      <c r="CO135" s="100">
        <f t="shared" si="121"/>
        <v>-0.34958490829014521</v>
      </c>
      <c r="CP135" s="4">
        <f t="shared" si="150"/>
        <v>0.15412301003571127</v>
      </c>
      <c r="CQ135" s="4">
        <f t="shared" si="130"/>
        <v>-0.92138882651248444</v>
      </c>
      <c r="CR135" s="73">
        <v>973.65822931299999</v>
      </c>
      <c r="CS135" s="113">
        <f>SUM(Datos1[[#This Row],[FFPP]:[MTESS]])</f>
        <v>0</v>
      </c>
      <c r="CT135" s="113"/>
      <c r="CU135" s="113"/>
      <c r="CV135" s="113"/>
      <c r="CW135" s="113"/>
      <c r="CX135" s="113"/>
      <c r="CY135" s="113"/>
      <c r="CZ135" s="113"/>
    </row>
    <row r="136" spans="1:104">
      <c r="A136">
        <v>134</v>
      </c>
      <c r="B136" s="3">
        <v>41671</v>
      </c>
      <c r="C136" s="14" t="str">
        <f t="shared" si="132"/>
        <v>Febrero</v>
      </c>
      <c r="D136" s="14">
        <f t="shared" si="151"/>
        <v>2014</v>
      </c>
      <c r="E136" s="15">
        <f t="shared" si="133"/>
        <v>179721.60920865697</v>
      </c>
      <c r="F136" s="15">
        <f t="shared" si="134"/>
        <v>4462.2360777646109</v>
      </c>
      <c r="G136" s="56">
        <v>1797.5913346409998</v>
      </c>
      <c r="H136" s="4">
        <f t="shared" si="152"/>
        <v>1.0002087910052009</v>
      </c>
      <c r="I136" s="4">
        <f>SUMIFS($G$3:$G136,$D$3:$D136,D136)</f>
        <v>3478.5763491519997</v>
      </c>
      <c r="J136" s="2">
        <f t="shared" si="93"/>
        <v>21699.203304589995</v>
      </c>
      <c r="K136" s="95">
        <f t="shared" si="100"/>
        <v>7.7468085782177676E-2</v>
      </c>
      <c r="L136" s="95">
        <f t="shared" si="101"/>
        <v>0.22828701769126214</v>
      </c>
      <c r="M136" s="95">
        <f t="shared" si="116"/>
        <v>3.7369429273728771E-2</v>
      </c>
      <c r="N136" s="4">
        <v>1045.6991384299999</v>
      </c>
      <c r="O136" s="4">
        <f t="shared" si="135"/>
        <v>0.58184385452277032</v>
      </c>
      <c r="P136" s="4">
        <f>SUMIFS($N$3:$N136,$D$3:$D136,D136)</f>
        <v>2350.8483156120001</v>
      </c>
      <c r="Q136" s="4">
        <f t="shared" si="127"/>
        <v>15105.626844347998</v>
      </c>
      <c r="R136" s="97">
        <f t="shared" si="102"/>
        <v>0.17724298196554122</v>
      </c>
      <c r="S136" s="97">
        <f t="shared" si="103"/>
        <v>0.15532197442675555</v>
      </c>
      <c r="T136" s="97">
        <f t="shared" si="117"/>
        <v>7.6811926523106422E-2</v>
      </c>
      <c r="U136" s="4">
        <v>486.54335770850003</v>
      </c>
      <c r="V136" s="4">
        <f t="shared" si="94"/>
        <v>8029.6927108106665</v>
      </c>
      <c r="W136" s="97">
        <f t="shared" si="122"/>
        <v>0.11628398947204799</v>
      </c>
      <c r="X136" s="97">
        <f t="shared" si="104"/>
        <v>0.14044245814270928</v>
      </c>
      <c r="Y136" s="4">
        <v>585.91638331200011</v>
      </c>
      <c r="Z136" s="4">
        <f t="shared" si="95"/>
        <v>7057.8763164370012</v>
      </c>
      <c r="AA136" s="97">
        <f t="shared" si="123"/>
        <v>3.563351896141187E-2</v>
      </c>
      <c r="AB136" s="97">
        <f t="shared" si="105"/>
        <v>0.18448726505109647</v>
      </c>
      <c r="AC136" s="4">
        <v>463.06046230299995</v>
      </c>
      <c r="AD136" s="4">
        <f t="shared" si="136"/>
        <v>0.25765430453351124</v>
      </c>
      <c r="AE136" s="4">
        <v>107.72993561700001</v>
      </c>
      <c r="AF136" s="4">
        <f t="shared" si="137"/>
        <v>5.9942672498511547E-2</v>
      </c>
      <c r="AG136" s="4">
        <v>181.10179829099997</v>
      </c>
      <c r="AH136" s="4">
        <f t="shared" si="138"/>
        <v>40.585436345116953</v>
      </c>
      <c r="AI136" s="4">
        <v>141.99358092599999</v>
      </c>
      <c r="AJ136" s="4">
        <f t="shared" si="139"/>
        <v>20.421553612501235</v>
      </c>
      <c r="AK136" s="101">
        <f>SUMIFS($AJ$3:$AJ136,$D$3:$D136,D136)</f>
        <v>55.563223104053471</v>
      </c>
      <c r="AL136" s="4">
        <v>13.272</v>
      </c>
      <c r="AM136" s="4">
        <f t="shared" si="140"/>
        <v>1.9087824800077851</v>
      </c>
      <c r="AN136" s="101">
        <f>SUMIFS($AM$3:$AM136,$D$3:$D136,D136)</f>
        <v>4.5573763733036987</v>
      </c>
      <c r="AO136" s="4">
        <f t="shared" si="153"/>
        <v>25.836217364999975</v>
      </c>
      <c r="AP136" s="56">
        <v>1730.6692180939999</v>
      </c>
      <c r="AQ136" s="4">
        <f t="shared" si="141"/>
        <v>0.96297224675119131</v>
      </c>
      <c r="AR136" s="4">
        <f>SUMIFS($AP$3:$AP136,$D$3:$D136,D136)</f>
        <v>3081.7162098809995</v>
      </c>
      <c r="AS136" s="4">
        <f t="shared" si="96"/>
        <v>20334.044225219997</v>
      </c>
      <c r="AT136" s="97">
        <f t="shared" si="106"/>
        <v>5.864421976021994E-3</v>
      </c>
      <c r="AU136" s="97">
        <f t="shared" si="107"/>
        <v>-8.9052814387913459E-2</v>
      </c>
      <c r="AV136" s="98">
        <f t="shared" si="131"/>
        <v>-1.3730044900034377E-2</v>
      </c>
      <c r="AW136" s="4">
        <v>889.49941377499977</v>
      </c>
      <c r="AX136" s="4">
        <f>SUMIFS($AW$3:$AW136,$D$3:$D136,D136)</f>
        <v>1746.8172448929997</v>
      </c>
      <c r="AY136" s="4">
        <f t="shared" si="97"/>
        <v>11504.107638697998</v>
      </c>
      <c r="AZ136" s="97">
        <f t="shared" si="108"/>
        <v>1.398969870453004E-2</v>
      </c>
      <c r="BA136" s="97">
        <f t="shared" si="109"/>
        <v>3.8271983611327887E-2</v>
      </c>
      <c r="BB136" s="97">
        <f t="shared" si="124"/>
        <v>9.7416606146650153E-2</v>
      </c>
      <c r="BC136" s="4">
        <v>579.22839532600005</v>
      </c>
      <c r="BD136" s="4">
        <f t="shared" si="154"/>
        <v>310.27101844899971</v>
      </c>
      <c r="BE136" s="4">
        <v>109.97550691900001</v>
      </c>
      <c r="BF136" s="4">
        <v>17.397867418999997</v>
      </c>
      <c r="BG136" s="4">
        <f t="shared" si="142"/>
        <v>2.5021658016037867</v>
      </c>
      <c r="BH136" s="4">
        <f>Datos1[[#This Row],[Intereses]]/Datos1[[#This Row],[PIB nominal (miles de millones de G.)]]*100</f>
        <v>9.6804538394718326E-3</v>
      </c>
      <c r="BI136" s="4">
        <v>450.44986755999997</v>
      </c>
      <c r="BJ136" s="4">
        <v>255.39815095099999</v>
      </c>
      <c r="BK136" s="4">
        <v>7.9484114700000008</v>
      </c>
      <c r="BL136" s="56">
        <f t="shared" si="143"/>
        <v>66.92211654699986</v>
      </c>
      <c r="BM136" s="56">
        <f>SUMIFS($BL$3:$BL136,$D$3:$D136,D136)</f>
        <v>396.86013927099998</v>
      </c>
      <c r="BN136" s="56">
        <f t="shared" si="128"/>
        <v>1365.159079370002</v>
      </c>
      <c r="BO136" s="100">
        <f t="shared" si="110"/>
        <v>-1.2603117676928939</v>
      </c>
      <c r="BP136" s="100">
        <f t="shared" si="111"/>
        <v>-3.5685516127625525</v>
      </c>
      <c r="BQ136" s="100">
        <f t="shared" si="119"/>
        <v>3.5443338250010328</v>
      </c>
      <c r="BR136" s="2">
        <f t="shared" si="144"/>
        <v>3.7236544254009664E-2</v>
      </c>
      <c r="BS136" s="2">
        <f>+Datos1[[#This Row],[RON acumulado 12 meses]]/Datos1[[#This Row],[PIB nominal (miles de millones de G.)]]*100</f>
        <v>0.75959651450986676</v>
      </c>
      <c r="BT136" s="56">
        <v>56.095149533000011</v>
      </c>
      <c r="BU136" s="56">
        <f>SUMIFS($BT$3:$BT136,$D$3:$D136,D136)</f>
        <v>109.04081846000001</v>
      </c>
      <c r="BV136" s="56">
        <f t="shared" si="98"/>
        <v>2608.7040110490002</v>
      </c>
      <c r="BW136" s="100">
        <f t="shared" si="112"/>
        <v>-0.61174035154070228</v>
      </c>
      <c r="BX136" s="100">
        <f t="shared" si="113"/>
        <v>-0.74247900346973084</v>
      </c>
      <c r="BY136" s="100">
        <f t="shared" si="120"/>
        <v>-0.18978170251179272</v>
      </c>
      <c r="BZ136" s="56">
        <f t="shared" si="145"/>
        <v>8.0676189452989231</v>
      </c>
      <c r="CA136" s="56">
        <f>Datos1[[#This Row],[Adquisición Neta de Activos no Financieros]]/Datos1[[#This Row],[PIB nominal (miles de millones de G.)]]*100</f>
        <v>3.1212245305389786E-2</v>
      </c>
      <c r="CB136" s="56">
        <f>+Datos1[[#This Row],[ANANF acumulado por año]]/Datos1[[#This Row],[PIB nominal (miles de millones de G.)]]*100</f>
        <v>6.0672068840315972E-2</v>
      </c>
      <c r="CC136" s="56">
        <f>+Datos1[[#This Row],[ANANF acumulado 12 meses]]/Datos1[[#This Row],[PIB nominal (miles de millones de G.)]]*100</f>
        <v>1.4515249571465234</v>
      </c>
      <c r="CD136" s="4">
        <v>31.768387825000001</v>
      </c>
      <c r="CE136" s="4">
        <f t="shared" si="146"/>
        <v>4.5689377711311501</v>
      </c>
      <c r="CF136" s="4">
        <f t="shared" si="147"/>
        <v>24.32676170800001</v>
      </c>
      <c r="CG136" s="4">
        <f t="shared" si="148"/>
        <v>3.4986811741677726</v>
      </c>
      <c r="CH136" s="56">
        <f t="shared" si="149"/>
        <v>10.826967013999848</v>
      </c>
      <c r="CI136" s="56">
        <f>SUMIFS($CH$3:$CH136,$D$3:$D136,D136)</f>
        <v>287.81932081100001</v>
      </c>
      <c r="CJ136" s="56">
        <f t="shared" si="129"/>
        <v>-1243.544931678998</v>
      </c>
      <c r="CK136" s="56">
        <f>Datos1[[#This Row],[Resultado Fiscal (miles de millones de G.)]]*1000/$F$207</f>
        <v>1.5571372022261238</v>
      </c>
      <c r="CL136" s="56">
        <f t="shared" si="99"/>
        <v>-178.84695439205464</v>
      </c>
      <c r="CM136" s="100">
        <f t="shared" si="114"/>
        <v>-1.0269620681484035</v>
      </c>
      <c r="CN136" s="100">
        <f t="shared" si="115"/>
        <v>-1.4980156105594875</v>
      </c>
      <c r="CO136" s="100">
        <f t="shared" si="121"/>
        <v>-0.57403296087138944</v>
      </c>
      <c r="CP136" s="4">
        <f t="shared" si="150"/>
        <v>6.0242989486198788E-3</v>
      </c>
      <c r="CQ136" s="4">
        <f t="shared" si="130"/>
        <v>-0.69192844263665654</v>
      </c>
      <c r="CR136" s="73">
        <v>1026.99076762</v>
      </c>
      <c r="CS136" s="113">
        <f>SUM(Datos1[[#This Row],[FFPP]:[MTESS]])</f>
        <v>0</v>
      </c>
      <c r="CT136" s="113"/>
      <c r="CU136" s="113"/>
      <c r="CV136" s="113"/>
      <c r="CW136" s="113"/>
      <c r="CX136" s="113"/>
      <c r="CY136" s="113"/>
      <c r="CZ136" s="113"/>
    </row>
    <row r="137" spans="1:104">
      <c r="A137">
        <v>135</v>
      </c>
      <c r="B137" s="3">
        <v>41699</v>
      </c>
      <c r="C137" s="14" t="str">
        <f t="shared" si="132"/>
        <v>Marzo</v>
      </c>
      <c r="D137" s="14">
        <f t="shared" si="151"/>
        <v>2014</v>
      </c>
      <c r="E137" s="15">
        <f t="shared" si="133"/>
        <v>179721.60920865697</v>
      </c>
      <c r="F137" s="15">
        <f t="shared" si="134"/>
        <v>4462.2360777646109</v>
      </c>
      <c r="G137" s="56">
        <v>1692.1851979160001</v>
      </c>
      <c r="H137" s="4">
        <f t="shared" si="152"/>
        <v>0.94155911766368139</v>
      </c>
      <c r="I137" s="4">
        <f>SUMIFS($G$3:$G137,$D$3:$D137,D137)</f>
        <v>5170.7615470679993</v>
      </c>
      <c r="J137" s="2">
        <f t="shared" si="93"/>
        <v>21794.264285761994</v>
      </c>
      <c r="K137" s="95">
        <f t="shared" si="100"/>
        <v>7.1527851883765425E-2</v>
      </c>
      <c r="L137" s="95">
        <f t="shared" si="101"/>
        <v>5.9520092535944036E-2</v>
      </c>
      <c r="M137" s="95">
        <f t="shared" si="116"/>
        <v>4.1655679463145523E-2</v>
      </c>
      <c r="N137" s="4">
        <v>1246.127121191</v>
      </c>
      <c r="O137" s="4">
        <f t="shared" si="135"/>
        <v>0.69336521449918975</v>
      </c>
      <c r="P137" s="4">
        <f>SUMIFS($N$3:$N137,$D$3:$D137,D137)</f>
        <v>3596.9754368029999</v>
      </c>
      <c r="Q137" s="4">
        <f t="shared" si="127"/>
        <v>15416.414310502001</v>
      </c>
      <c r="R137" s="97">
        <f t="shared" si="102"/>
        <v>0.33227230822551412</v>
      </c>
      <c r="S137" s="97">
        <f t="shared" si="103"/>
        <v>0.21104619073083986</v>
      </c>
      <c r="T137" s="97">
        <f t="shared" si="117"/>
        <v>0.10026036792355497</v>
      </c>
      <c r="U137" s="4">
        <v>650.63400000000013</v>
      </c>
      <c r="V137" s="4">
        <f t="shared" si="94"/>
        <v>8221.763882366251</v>
      </c>
      <c r="W137" s="97">
        <f t="shared" si="122"/>
        <v>0.13975766801246703</v>
      </c>
      <c r="X137" s="97">
        <f t="shared" si="104"/>
        <v>0.41885464682592488</v>
      </c>
      <c r="Y137" s="4">
        <v>589.04334910299997</v>
      </c>
      <c r="Z137" s="4">
        <f t="shared" si="95"/>
        <v>7150.9993649800008</v>
      </c>
      <c r="AA137" s="97">
        <f t="shared" si="123"/>
        <v>5.7843117880962636E-2</v>
      </c>
      <c r="AB137" s="97">
        <f t="shared" si="105"/>
        <v>0.18777825476763943</v>
      </c>
      <c r="AC137" s="4">
        <v>125.080012524</v>
      </c>
      <c r="AD137" s="4">
        <f t="shared" si="136"/>
        <v>6.9596534926850112E-2</v>
      </c>
      <c r="AE137" s="4">
        <v>75.480686466999998</v>
      </c>
      <c r="AF137" s="4">
        <f t="shared" si="137"/>
        <v>4.1998670498975363E-2</v>
      </c>
      <c r="AG137" s="4">
        <v>245.49737773400003</v>
      </c>
      <c r="AH137" s="4">
        <f t="shared" si="138"/>
        <v>55.016671788683965</v>
      </c>
      <c r="AI137" s="4">
        <v>142.76355605500001</v>
      </c>
      <c r="AJ137" s="4">
        <f t="shared" si="139"/>
        <v>20.532291635126082</v>
      </c>
      <c r="AK137" s="101">
        <f>SUMIFS($AJ$3:$AJ137,$D$3:$D137,D137)</f>
        <v>76.095514739179549</v>
      </c>
      <c r="AL137" s="4">
        <v>0</v>
      </c>
      <c r="AM137" s="4">
        <f t="shared" si="140"/>
        <v>0</v>
      </c>
      <c r="AN137" s="101">
        <f>SUMIFS($AM$3:$AM137,$D$3:$D137,D137)</f>
        <v>4.5573763733036987</v>
      </c>
      <c r="AO137" s="4">
        <f t="shared" si="153"/>
        <v>102.73382167900002</v>
      </c>
      <c r="AP137" s="56">
        <v>1746.2922186570001</v>
      </c>
      <c r="AQ137" s="4">
        <f t="shared" si="141"/>
        <v>0.97166513606583227</v>
      </c>
      <c r="AR137" s="4">
        <f>SUMIFS($AP$3:$AP137,$D$3:$D137,D137)</f>
        <v>4828.0084285379999</v>
      </c>
      <c r="AS137" s="4">
        <f t="shared" si="96"/>
        <v>20482.405549510997</v>
      </c>
      <c r="AT137" s="97">
        <f t="shared" si="106"/>
        <v>9.2845895159856084E-2</v>
      </c>
      <c r="AU137" s="97">
        <f t="shared" si="107"/>
        <v>-3.0697712801786126E-2</v>
      </c>
      <c r="AV137" s="98">
        <f t="shared" si="131"/>
        <v>-5.7517858901428021E-3</v>
      </c>
      <c r="AW137" s="4">
        <v>926.3681228920002</v>
      </c>
      <c r="AX137" s="4">
        <f>SUMIFS($AW$3:$AW137,$D$3:$D137,D137)</f>
        <v>2673.1853677849999</v>
      </c>
      <c r="AY137" s="4">
        <f t="shared" si="97"/>
        <v>11547.104611825</v>
      </c>
      <c r="AZ137" s="97">
        <f t="shared" si="108"/>
        <v>4.8673734860414042E-2</v>
      </c>
      <c r="BA137" s="97">
        <f t="shared" si="109"/>
        <v>4.1853171590146676E-2</v>
      </c>
      <c r="BB137" s="97">
        <f t="shared" si="124"/>
        <v>9.4584590414245939E-2</v>
      </c>
      <c r="BC137" s="4">
        <v>583.41525879300002</v>
      </c>
      <c r="BD137" s="4">
        <f t="shared" si="154"/>
        <v>342.95286409900018</v>
      </c>
      <c r="BE137" s="4">
        <v>137.88706284899999</v>
      </c>
      <c r="BF137" s="4">
        <v>69.097013524999994</v>
      </c>
      <c r="BG137" s="4">
        <f t="shared" si="142"/>
        <v>9.9375503946188175</v>
      </c>
      <c r="BH137" s="4">
        <f>Datos1[[#This Row],[Intereses]]/Datos1[[#This Row],[PIB nominal (miles de millones de G.)]]*100</f>
        <v>3.8446691986147474E-2</v>
      </c>
      <c r="BI137" s="4">
        <v>333.46315081000006</v>
      </c>
      <c r="BJ137" s="4">
        <v>245.648307706</v>
      </c>
      <c r="BK137" s="4">
        <v>33.828560875000001</v>
      </c>
      <c r="BL137" s="56">
        <f t="shared" si="143"/>
        <v>-54.107020741000042</v>
      </c>
      <c r="BM137" s="56">
        <f>SUMIFS($BL$3:$BL137,$D$3:$D137,D137)</f>
        <v>342.75311852999994</v>
      </c>
      <c r="BN137" s="56">
        <f t="shared" si="128"/>
        <v>1311.8587362510016</v>
      </c>
      <c r="BO137" s="100">
        <f t="shared" si="110"/>
        <v>66.073908170254228</v>
      </c>
      <c r="BP137" s="100">
        <f t="shared" si="111"/>
        <v>-3.2068392188210959</v>
      </c>
      <c r="BQ137" s="100">
        <f t="shared" si="119"/>
        <v>3.0764134385124891</v>
      </c>
      <c r="BR137" s="2">
        <f t="shared" si="144"/>
        <v>-3.0106018402150925E-2</v>
      </c>
      <c r="BS137" s="2">
        <f>+Datos1[[#This Row],[RON acumulado 12 meses]]/Datos1[[#This Row],[PIB nominal (miles de millones de G.)]]*100</f>
        <v>0.72993934453810294</v>
      </c>
      <c r="BT137" s="56">
        <v>213.93007477500004</v>
      </c>
      <c r="BU137" s="56">
        <f>SUMIFS($BT$3:$BT137,$D$3:$D137,D137)</f>
        <v>322.97089323500006</v>
      </c>
      <c r="BV137" s="56">
        <f t="shared" si="98"/>
        <v>2603.0691260990002</v>
      </c>
      <c r="BW137" s="100">
        <f t="shared" si="112"/>
        <v>-2.566386256284936E-2</v>
      </c>
      <c r="BX137" s="100">
        <f t="shared" si="113"/>
        <v>-0.49770458018540031</v>
      </c>
      <c r="BY137" s="100">
        <f t="shared" si="120"/>
        <v>-0.20425800174566211</v>
      </c>
      <c r="BZ137" s="56">
        <f t="shared" si="145"/>
        <v>30.7674788032908</v>
      </c>
      <c r="CA137" s="56">
        <f>Datos1[[#This Row],[Adquisición Neta de Activos no Financieros]]/Datos1[[#This Row],[PIB nominal (miles de millones de G.)]]*100</f>
        <v>0.11903414159096862</v>
      </c>
      <c r="CB137" s="56">
        <f>+Datos1[[#This Row],[ANANF acumulado por año]]/Datos1[[#This Row],[PIB nominal (miles de millones de G.)]]*100</f>
        <v>0.1797062104312846</v>
      </c>
      <c r="CC137" s="56">
        <f>+Datos1[[#This Row],[ANANF acumulado 12 meses]]/Datos1[[#This Row],[PIB nominal (miles de millones de G.)]]*100</f>
        <v>1.4483896163409233</v>
      </c>
      <c r="CD137" s="4">
        <v>174.64071949699996</v>
      </c>
      <c r="CE137" s="4">
        <f t="shared" si="146"/>
        <v>25.11687354368803</v>
      </c>
      <c r="CF137" s="4">
        <f t="shared" si="147"/>
        <v>39.289355278000073</v>
      </c>
      <c r="CG137" s="4">
        <f t="shared" si="148"/>
        <v>5.6506052596027683</v>
      </c>
      <c r="CH137" s="56">
        <f t="shared" si="149"/>
        <v>-268.03709551600008</v>
      </c>
      <c r="CI137" s="56">
        <f>SUMIFS($CH$3:$CH137,$D$3:$D137,D137)</f>
        <v>19.782225294999932</v>
      </c>
      <c r="CJ137" s="56">
        <f t="shared" si="129"/>
        <v>-1291.2103898479986</v>
      </c>
      <c r="CK137" s="56">
        <f>Datos1[[#This Row],[Resultado Fiscal (miles de millones de G.)]]*1000/$F$207</f>
        <v>-38.549164550415476</v>
      </c>
      <c r="CL137" s="56">
        <f t="shared" si="99"/>
        <v>-185.70221294046726</v>
      </c>
      <c r="CM137" s="100">
        <f t="shared" si="114"/>
        <v>0.21629579351877282</v>
      </c>
      <c r="CN137" s="100">
        <f t="shared" si="115"/>
        <v>-1.0247803169877887</v>
      </c>
      <c r="CO137" s="100">
        <f t="shared" si="121"/>
        <v>-0.56221708256030278</v>
      </c>
      <c r="CP137" s="4">
        <f t="shared" si="150"/>
        <v>-0.14914015999311955</v>
      </c>
      <c r="CQ137" s="4">
        <f t="shared" si="130"/>
        <v>-0.71845027180282039</v>
      </c>
      <c r="CR137" s="73">
        <v>1037.60762727</v>
      </c>
      <c r="CS137" s="113">
        <f>SUM(Datos1[[#This Row],[FFPP]:[MTESS]])</f>
        <v>0</v>
      </c>
      <c r="CT137" s="113"/>
      <c r="CU137" s="113"/>
      <c r="CV137" s="113"/>
      <c r="CW137" s="113"/>
      <c r="CX137" s="113"/>
      <c r="CY137" s="113"/>
      <c r="CZ137" s="113"/>
    </row>
    <row r="138" spans="1:104">
      <c r="A138">
        <v>136</v>
      </c>
      <c r="B138" s="3">
        <v>41730</v>
      </c>
      <c r="C138" s="14" t="str">
        <f t="shared" si="132"/>
        <v>Abril</v>
      </c>
      <c r="D138" s="14">
        <f t="shared" si="151"/>
        <v>2014</v>
      </c>
      <c r="E138" s="15">
        <f t="shared" si="133"/>
        <v>179721.60920865697</v>
      </c>
      <c r="F138" s="15">
        <f t="shared" si="134"/>
        <v>4462.2360777646109</v>
      </c>
      <c r="G138" s="56">
        <v>1970.9655661520001</v>
      </c>
      <c r="H138" s="4">
        <f t="shared" si="152"/>
        <v>1.0966770077513088</v>
      </c>
      <c r="I138" s="4">
        <f>SUMIFS($G$3:$G138,$D$3:$D138,D138)</f>
        <v>7141.7271132199994</v>
      </c>
      <c r="J138" s="2">
        <f t="shared" si="93"/>
        <v>21762.071112311001</v>
      </c>
      <c r="K138" s="95">
        <f t="shared" si="100"/>
        <v>4.5831396667459501E-2</v>
      </c>
      <c r="L138" s="95">
        <f t="shared" si="101"/>
        <v>-1.6071204350674773E-2</v>
      </c>
      <c r="M138" s="95">
        <f t="shared" si="116"/>
        <v>2.569682551529473E-2</v>
      </c>
      <c r="N138" s="4">
        <v>1567.3032966609999</v>
      </c>
      <c r="O138" s="4">
        <f t="shared" si="135"/>
        <v>0.87207281503993173</v>
      </c>
      <c r="P138" s="4">
        <f>SUMIFS($N$3:$N138,$D$3:$D138,D138)</f>
        <v>5164.2787334639997</v>
      </c>
      <c r="Q138" s="4">
        <f t="shared" si="127"/>
        <v>15556.189003060001</v>
      </c>
      <c r="R138" s="97">
        <f t="shared" si="102"/>
        <v>9.7913759595611438E-2</v>
      </c>
      <c r="S138" s="97">
        <f t="shared" si="103"/>
        <v>0.17432222734470337</v>
      </c>
      <c r="T138" s="97">
        <f t="shared" si="117"/>
        <v>9.5904882116489398E-2</v>
      </c>
      <c r="U138" s="4">
        <v>970.68920350200005</v>
      </c>
      <c r="V138" s="4">
        <f t="shared" si="94"/>
        <v>8382.7290511518331</v>
      </c>
      <c r="W138" s="97">
        <f t="shared" si="122"/>
        <v>0.1476065669946236</v>
      </c>
      <c r="X138" s="97">
        <f t="shared" si="104"/>
        <v>0.19879015798506838</v>
      </c>
      <c r="Y138" s="4">
        <v>604.01684004000003</v>
      </c>
      <c r="Z138" s="4">
        <f t="shared" si="95"/>
        <v>7151.1698788370004</v>
      </c>
      <c r="AA138" s="97">
        <f t="shared" si="123"/>
        <v>4.4914472321580856E-2</v>
      </c>
      <c r="AB138" s="97">
        <f t="shared" si="105"/>
        <v>2.8237955520515889E-4</v>
      </c>
      <c r="AC138" s="4">
        <v>72.005521823000009</v>
      </c>
      <c r="AD138" s="4">
        <f t="shared" si="136"/>
        <v>4.0065032880604541E-2</v>
      </c>
      <c r="AE138" s="4">
        <v>42.497285584000004</v>
      </c>
      <c r="AF138" s="4">
        <f t="shared" si="137"/>
        <v>2.3646174642616632E-2</v>
      </c>
      <c r="AG138" s="4">
        <v>289.15946208399998</v>
      </c>
      <c r="AH138" s="4">
        <f t="shared" si="138"/>
        <v>64.801471066240964</v>
      </c>
      <c r="AI138" s="4">
        <v>134.75677739600002</v>
      </c>
      <c r="AJ138" s="4">
        <f t="shared" si="139"/>
        <v>19.380754653088754</v>
      </c>
      <c r="AK138" s="101">
        <f>SUMIFS($AJ$3:$AJ138,$D$3:$D138,D138)</f>
        <v>95.476269392268307</v>
      </c>
      <c r="AL138" s="4">
        <v>66.39</v>
      </c>
      <c r="AM138" s="4">
        <f t="shared" si="140"/>
        <v>9.5482270078147113</v>
      </c>
      <c r="AN138" s="101">
        <f>SUMIFS($AM$3:$AM138,$D$3:$D138,D138)</f>
        <v>14.10560338111841</v>
      </c>
      <c r="AO138" s="4">
        <f t="shared" si="153"/>
        <v>88.012684687999965</v>
      </c>
      <c r="AP138" s="56">
        <v>1674.5142174589998</v>
      </c>
      <c r="AQ138" s="4">
        <f t="shared" si="141"/>
        <v>0.93172669932800734</v>
      </c>
      <c r="AR138" s="4">
        <f>SUMIFS($AP$3:$AP138,$D$3:$D138,D138)</f>
        <v>6502.5226459969999</v>
      </c>
      <c r="AS138" s="4">
        <f t="shared" si="96"/>
        <v>20524.744902147999</v>
      </c>
      <c r="AT138" s="97">
        <f t="shared" si="106"/>
        <v>2.5940451326345704E-2</v>
      </c>
      <c r="AU138" s="97">
        <f t="shared" si="107"/>
        <v>-1.6718854865735544E-2</v>
      </c>
      <c r="AV138" s="98">
        <f t="shared" si="131"/>
        <v>-5.5430257620713297E-3</v>
      </c>
      <c r="AW138" s="4">
        <v>933.73381897399997</v>
      </c>
      <c r="AX138" s="4">
        <f>SUMIFS($AW$3:$AW138,$D$3:$D138,D138)</f>
        <v>3606.9191867589998</v>
      </c>
      <c r="AY138" s="4">
        <f t="shared" si="97"/>
        <v>11585.702309646998</v>
      </c>
      <c r="AZ138" s="97">
        <f t="shared" si="108"/>
        <v>4.3119361301526382E-2</v>
      </c>
      <c r="BA138" s="97">
        <f t="shared" si="109"/>
        <v>4.218065888799627E-2</v>
      </c>
      <c r="BB138" s="97">
        <f t="shared" si="124"/>
        <v>8.5143750993714296E-2</v>
      </c>
      <c r="BC138" s="4">
        <v>583.34419414299998</v>
      </c>
      <c r="BD138" s="4">
        <f t="shared" si="154"/>
        <v>350.38962483099999</v>
      </c>
      <c r="BE138" s="4">
        <v>143.11130288999999</v>
      </c>
      <c r="BF138" s="4">
        <v>14.260567279</v>
      </c>
      <c r="BG138" s="4">
        <f t="shared" si="142"/>
        <v>2.0509584823031566</v>
      </c>
      <c r="BH138" s="4">
        <f>Datos1[[#This Row],[Intereses]]/Datos1[[#This Row],[PIB nominal (miles de millones de G.)]]*100</f>
        <v>7.9348094766074941E-3</v>
      </c>
      <c r="BI138" s="4">
        <v>259.60300202800005</v>
      </c>
      <c r="BJ138" s="4">
        <v>291.06124691599996</v>
      </c>
      <c r="BK138" s="4">
        <v>32.744279372000001</v>
      </c>
      <c r="BL138" s="56">
        <f t="shared" si="143"/>
        <v>296.45134869300023</v>
      </c>
      <c r="BM138" s="56">
        <f>SUMIFS($BL$3:$BL138,$D$3:$D138,D138)</f>
        <v>639.20446722300017</v>
      </c>
      <c r="BN138" s="56">
        <f t="shared" si="128"/>
        <v>1237.3262101630019</v>
      </c>
      <c r="BO138" s="100">
        <f t="shared" si="110"/>
        <v>-0.20090502890994366</v>
      </c>
      <c r="BP138" s="100">
        <f t="shared" si="111"/>
        <v>1.9638102751289113</v>
      </c>
      <c r="BQ138" s="100">
        <f t="shared" si="119"/>
        <v>1.1417521662960031</v>
      </c>
      <c r="BR138" s="2">
        <f t="shared" si="144"/>
        <v>0.16495030842330144</v>
      </c>
      <c r="BS138" s="2">
        <f>+Datos1[[#This Row],[RON acumulado 12 meses]]/Datos1[[#This Row],[PIB nominal (miles de millones de G.)]]*100</f>
        <v>0.6884682457558372</v>
      </c>
      <c r="BT138" s="56">
        <v>194.105438556</v>
      </c>
      <c r="BU138" s="56">
        <f>SUMIFS($BT$3:$BT138,$D$3:$D138,D138)</f>
        <v>517.07633179100003</v>
      </c>
      <c r="BV138" s="56">
        <f t="shared" si="98"/>
        <v>2632.9155964820002</v>
      </c>
      <c r="BW138" s="100">
        <f t="shared" si="112"/>
        <v>0.18170374935976241</v>
      </c>
      <c r="BX138" s="100">
        <f t="shared" si="113"/>
        <v>-0.3594586037336196</v>
      </c>
      <c r="BY138" s="100">
        <f t="shared" si="120"/>
        <v>-0.18786279392447014</v>
      </c>
      <c r="BZ138" s="56">
        <f t="shared" si="145"/>
        <v>27.916294483869834</v>
      </c>
      <c r="CA138" s="56">
        <f>Datos1[[#This Row],[Adquisición Neta de Activos no Financieros]]/Datos1[[#This Row],[PIB nominal (miles de millones de G.)]]*100</f>
        <v>0.1080033944780916</v>
      </c>
      <c r="CB138" s="56">
        <f>+Datos1[[#This Row],[ANANF acumulado por año]]/Datos1[[#This Row],[PIB nominal (miles de millones de G.)]]*100</f>
        <v>0.28770960490937619</v>
      </c>
      <c r="CC138" s="56">
        <f>+Datos1[[#This Row],[ANANF acumulado 12 meses]]/Datos1[[#This Row],[PIB nominal (miles de millones de G.)]]*100</f>
        <v>1.4649966735080713</v>
      </c>
      <c r="CD138" s="4">
        <v>168.24564874299998</v>
      </c>
      <c r="CE138" s="4">
        <f t="shared" si="146"/>
        <v>24.197132810291002</v>
      </c>
      <c r="CF138" s="4">
        <f t="shared" si="147"/>
        <v>25.85978981300002</v>
      </c>
      <c r="CG138" s="4">
        <f t="shared" si="148"/>
        <v>3.7191616735788302</v>
      </c>
      <c r="CH138" s="56">
        <f t="shared" si="149"/>
        <v>102.34591013700023</v>
      </c>
      <c r="CI138" s="56">
        <f>SUMIFS($CH$3:$CH138,$D$3:$D138,D138)</f>
        <v>122.12813543200016</v>
      </c>
      <c r="CJ138" s="56">
        <f t="shared" si="129"/>
        <v>-1395.5893863189985</v>
      </c>
      <c r="CK138" s="56">
        <f>Datos1[[#This Row],[Resultado Fiscal (miles de millones de G.)]]*1000/$F$207</f>
        <v>14.719415323233665</v>
      </c>
      <c r="CL138" s="56">
        <f t="shared" si="99"/>
        <v>-200.71402726721817</v>
      </c>
      <c r="CM138" s="100">
        <f t="shared" si="114"/>
        <v>-0.50491737151405447</v>
      </c>
      <c r="CN138" s="100">
        <f t="shared" si="115"/>
        <v>-1.2064443184480593</v>
      </c>
      <c r="CO138" s="100">
        <f t="shared" si="121"/>
        <v>-0.47617775124767703</v>
      </c>
      <c r="CP138" s="4">
        <f t="shared" si="150"/>
        <v>5.694691394520985E-2</v>
      </c>
      <c r="CQ138" s="4">
        <f t="shared" si="130"/>
        <v>-0.77652842775223418</v>
      </c>
      <c r="CR138" s="73">
        <v>1037.995860004</v>
      </c>
      <c r="CS138" s="113">
        <f>SUM(Datos1[[#This Row],[FFPP]:[MTESS]])</f>
        <v>0</v>
      </c>
      <c r="CT138" s="113"/>
      <c r="CU138" s="113"/>
      <c r="CV138" s="113"/>
      <c r="CW138" s="113"/>
      <c r="CX138" s="113"/>
      <c r="CY138" s="113"/>
      <c r="CZ138" s="113"/>
    </row>
    <row r="139" spans="1:104">
      <c r="A139">
        <v>137</v>
      </c>
      <c r="B139" s="3">
        <v>41760</v>
      </c>
      <c r="C139" s="14" t="str">
        <f t="shared" si="132"/>
        <v>Mayo</v>
      </c>
      <c r="D139" s="14">
        <f t="shared" si="151"/>
        <v>2014</v>
      </c>
      <c r="E139" s="15">
        <f t="shared" si="133"/>
        <v>179721.60920865697</v>
      </c>
      <c r="F139" s="15">
        <f t="shared" si="134"/>
        <v>4462.2360777646109</v>
      </c>
      <c r="G139" s="56">
        <v>2684.6358159880001</v>
      </c>
      <c r="H139" s="4">
        <f t="shared" si="152"/>
        <v>1.4937746372341543</v>
      </c>
      <c r="I139" s="4">
        <f>SUMIFS($G$3:$G139,$D$3:$D139,D139)</f>
        <v>9826.3629292080004</v>
      </c>
      <c r="J139" s="2">
        <f t="shared" si="93"/>
        <v>22456.843992804002</v>
      </c>
      <c r="K139" s="95">
        <f t="shared" si="100"/>
        <v>0.11427461978439424</v>
      </c>
      <c r="L139" s="95">
        <f t="shared" si="101"/>
        <v>0.3491561494511517</v>
      </c>
      <c r="M139" s="95">
        <f t="shared" si="116"/>
        <v>6.1826729234856437E-2</v>
      </c>
      <c r="N139" s="4">
        <v>1783.899321824</v>
      </c>
      <c r="O139" s="4">
        <f t="shared" si="135"/>
        <v>0.99259033439484234</v>
      </c>
      <c r="P139" s="4">
        <f>SUMIFS($N$3:$N139,$D$3:$D139,D139)</f>
        <v>6948.178055288</v>
      </c>
      <c r="Q139" s="4">
        <f t="shared" si="127"/>
        <v>15829.222524622</v>
      </c>
      <c r="R139" s="97">
        <f t="shared" si="102"/>
        <v>0.18071328473690573</v>
      </c>
      <c r="S139" s="97">
        <f t="shared" si="103"/>
        <v>0.1759564789424144</v>
      </c>
      <c r="T139" s="97">
        <f t="shared" si="117"/>
        <v>0.11160139570464023</v>
      </c>
      <c r="U139" s="4">
        <v>1157.0020975709997</v>
      </c>
      <c r="V139" s="4">
        <f t="shared" si="94"/>
        <v>8589.8148283914161</v>
      </c>
      <c r="W139" s="97">
        <f t="shared" si="122"/>
        <v>0.16052270671366142</v>
      </c>
      <c r="X139" s="97">
        <f t="shared" si="104"/>
        <v>0.21800423132780034</v>
      </c>
      <c r="Y139" s="4">
        <v>626.96311671499996</v>
      </c>
      <c r="Z139" s="4">
        <f t="shared" si="95"/>
        <v>7219.5841558730008</v>
      </c>
      <c r="AA139" s="97">
        <f t="shared" si="123"/>
        <v>5.9428058629525271E-2</v>
      </c>
      <c r="AB139" s="97">
        <f t="shared" si="105"/>
        <v>0.12248575625959224</v>
      </c>
      <c r="AC139" s="4">
        <v>124.389233699</v>
      </c>
      <c r="AD139" s="4">
        <f t="shared" si="136"/>
        <v>6.9212174455095143E-2</v>
      </c>
      <c r="AE139" s="4">
        <v>126.228455268</v>
      </c>
      <c r="AF139" s="4">
        <f t="shared" si="137"/>
        <v>7.0235546979466795E-2</v>
      </c>
      <c r="AG139" s="4">
        <v>650.11880519700003</v>
      </c>
      <c r="AH139" s="4">
        <f t="shared" si="138"/>
        <v>145.69350295842744</v>
      </c>
      <c r="AI139" s="4">
        <v>518.213994963</v>
      </c>
      <c r="AJ139" s="4">
        <f t="shared" si="139"/>
        <v>74.529671072951857</v>
      </c>
      <c r="AK139" s="101">
        <f>SUMIFS($AJ$3:$AJ139,$D$3:$D139,D139)</f>
        <v>170.00594046522016</v>
      </c>
      <c r="AL139" s="4">
        <v>44.17</v>
      </c>
      <c r="AM139" s="4">
        <f t="shared" si="140"/>
        <v>6.3525408485491157</v>
      </c>
      <c r="AN139" s="101">
        <f>SUMIFS($AM$3:$AM139,$D$3:$D139,D139)</f>
        <v>20.458144229667525</v>
      </c>
      <c r="AO139" s="4">
        <f t="shared" si="153"/>
        <v>87.734810234000022</v>
      </c>
      <c r="AP139" s="56">
        <v>1715.1886391870005</v>
      </c>
      <c r="AQ139" s="4">
        <f t="shared" si="141"/>
        <v>0.95435860314140897</v>
      </c>
      <c r="AR139" s="4">
        <f>SUMIFS($AP$3:$AP139,$D$3:$D139,D139)</f>
        <v>8217.7112851840011</v>
      </c>
      <c r="AS139" s="4">
        <f t="shared" si="96"/>
        <v>20624.472542486998</v>
      </c>
      <c r="AT139" s="97">
        <f t="shared" si="106"/>
        <v>6.1733239248807248E-2</v>
      </c>
      <c r="AU139" s="97">
        <f t="shared" si="107"/>
        <v>-1.3168281947242289E-3</v>
      </c>
      <c r="AV139" s="98">
        <f t="shared" si="131"/>
        <v>-1.7711485223478318E-3</v>
      </c>
      <c r="AW139" s="4">
        <v>946.44260932800034</v>
      </c>
      <c r="AX139" s="4">
        <f>SUMIFS($AW$3:$AW139,$D$3:$D139,D139)</f>
        <v>4553.3617960869997</v>
      </c>
      <c r="AY139" s="4">
        <f t="shared" si="97"/>
        <v>11665.264680667999</v>
      </c>
      <c r="AZ139" s="97">
        <f t="shared" si="108"/>
        <v>9.1780118527541976E-2</v>
      </c>
      <c r="BA139" s="97">
        <f t="shared" si="109"/>
        <v>5.2115647372648732E-2</v>
      </c>
      <c r="BB139" s="97">
        <f t="shared" si="124"/>
        <v>8.3480502991116978E-2</v>
      </c>
      <c r="BC139" s="4">
        <v>586.21325455600004</v>
      </c>
      <c r="BD139" s="4">
        <f t="shared" si="154"/>
        <v>360.22935477200031</v>
      </c>
      <c r="BE139" s="4">
        <v>192.24736449099998</v>
      </c>
      <c r="BF139" s="4">
        <v>27.728664319</v>
      </c>
      <c r="BG139" s="4">
        <f t="shared" si="142"/>
        <v>3.9879436894306965</v>
      </c>
      <c r="BH139" s="4">
        <f>Datos1[[#This Row],[Intereses]]/Datos1[[#This Row],[PIB nominal (miles de millones de G.)]]*100</f>
        <v>1.5428675739714189E-2</v>
      </c>
      <c r="BI139" s="4">
        <v>283.73902603599998</v>
      </c>
      <c r="BJ139" s="4">
        <v>238.84079901300001</v>
      </c>
      <c r="BK139" s="4">
        <v>26.190175999999997</v>
      </c>
      <c r="BL139" s="56">
        <f t="shared" si="143"/>
        <v>969.44717680099961</v>
      </c>
      <c r="BM139" s="56">
        <f>SUMIFS($BL$3:$BL139,$D$3:$D139,D139)</f>
        <v>1608.6516440239998</v>
      </c>
      <c r="BN139" s="56">
        <f t="shared" si="128"/>
        <v>1832.3714503170011</v>
      </c>
      <c r="BO139" s="100">
        <f t="shared" si="110"/>
        <v>1.5893220144185025</v>
      </c>
      <c r="BP139" s="100">
        <f t="shared" si="111"/>
        <v>1.7261965859771391</v>
      </c>
      <c r="BQ139" s="100">
        <f t="shared" si="119"/>
        <v>2.7534105708896122</v>
      </c>
      <c r="BR139" s="2">
        <f t="shared" si="144"/>
        <v>0.5394160340927453</v>
      </c>
      <c r="BS139" s="2">
        <f>+Datos1[[#This Row],[RON acumulado 12 meses]]/Datos1[[#This Row],[PIB nominal (miles de millones de G.)]]*100</f>
        <v>1.0195610079306689</v>
      </c>
      <c r="BT139" s="56">
        <v>272.31311538200003</v>
      </c>
      <c r="BU139" s="56">
        <f>SUMIFS($BT$3:$BT139,$D$3:$D139,D139)</f>
        <v>789.38944717300001</v>
      </c>
      <c r="BV139" s="56">
        <f t="shared" si="98"/>
        <v>2727.8119270130001</v>
      </c>
      <c r="BW139" s="100">
        <f t="shared" si="112"/>
        <v>0.53487797454280828</v>
      </c>
      <c r="BX139" s="100">
        <f t="shared" si="113"/>
        <v>-0.19831729031122391</v>
      </c>
      <c r="BY139" s="100">
        <f t="shared" si="120"/>
        <v>-0.16264527557495023</v>
      </c>
      <c r="BZ139" s="56">
        <f t="shared" si="145"/>
        <v>39.164142835857454</v>
      </c>
      <c r="CA139" s="56">
        <f>Datos1[[#This Row],[Adquisición Neta de Activos no Financieros]]/Datos1[[#This Row],[PIB nominal (miles de millones de G.)]]*100</f>
        <v>0.15151940636467606</v>
      </c>
      <c r="CB139" s="56">
        <f>+Datos1[[#This Row],[ANANF acumulado por año]]/Datos1[[#This Row],[PIB nominal (miles de millones de G.)]]*100</f>
        <v>0.43922901127405217</v>
      </c>
      <c r="CC139" s="56">
        <f>+Datos1[[#This Row],[ANANF acumulado 12 meses]]/Datos1[[#This Row],[PIB nominal (miles de millones de G.)]]*100</f>
        <v>1.5177985212930114</v>
      </c>
      <c r="CD139" s="4">
        <v>204.54899713499995</v>
      </c>
      <c r="CE139" s="4">
        <f t="shared" si="146"/>
        <v>29.41828978559754</v>
      </c>
      <c r="CF139" s="4">
        <f t="shared" si="147"/>
        <v>67.764118247000084</v>
      </c>
      <c r="CG139" s="4">
        <f t="shared" si="148"/>
        <v>9.7458530502599157</v>
      </c>
      <c r="CH139" s="56">
        <f t="shared" si="149"/>
        <v>697.13406141899964</v>
      </c>
      <c r="CI139" s="56">
        <f>SUMIFS($CH$3:$CH139,$D$3:$D139,D139)</f>
        <v>819.26219685099977</v>
      </c>
      <c r="CJ139" s="56">
        <f t="shared" si="129"/>
        <v>-895.44047669599922</v>
      </c>
      <c r="CK139" s="56">
        <f>Datos1[[#This Row],[Resultado Fiscal (miles de millones de G.)]]*1000/$F$207</f>
        <v>100.26200140545944</v>
      </c>
      <c r="CL139" s="56">
        <f t="shared" si="99"/>
        <v>-128.7824814502066</v>
      </c>
      <c r="CM139" s="100">
        <f t="shared" si="114"/>
        <v>2.5390183222589178</v>
      </c>
      <c r="CN139" s="100">
        <f t="shared" si="115"/>
        <v>-3.0762160388692941</v>
      </c>
      <c r="CO139" s="100">
        <f t="shared" si="121"/>
        <v>-0.67667390852287612</v>
      </c>
      <c r="CP139" s="4">
        <f t="shared" si="150"/>
        <v>0.38789662772806932</v>
      </c>
      <c r="CQ139" s="4">
        <f t="shared" si="130"/>
        <v>-0.49823751336234245</v>
      </c>
      <c r="CR139" s="73">
        <v>1039.313403523</v>
      </c>
      <c r="CS139" s="113">
        <f>SUM(Datos1[[#This Row],[FFPP]:[MTESS]])</f>
        <v>0</v>
      </c>
      <c r="CT139" s="113"/>
      <c r="CU139" s="113"/>
      <c r="CV139" s="113"/>
      <c r="CW139" s="113"/>
      <c r="CX139" s="113"/>
      <c r="CY139" s="113"/>
      <c r="CZ139" s="113"/>
    </row>
    <row r="140" spans="1:104">
      <c r="A140">
        <v>138</v>
      </c>
      <c r="B140" s="3">
        <v>41791</v>
      </c>
      <c r="C140" s="14" t="str">
        <f t="shared" si="132"/>
        <v>Junio</v>
      </c>
      <c r="D140" s="14">
        <f t="shared" si="151"/>
        <v>2014</v>
      </c>
      <c r="E140" s="15">
        <f t="shared" si="133"/>
        <v>179721.60920865697</v>
      </c>
      <c r="F140" s="15">
        <f t="shared" si="134"/>
        <v>4462.2360777646109</v>
      </c>
      <c r="G140" s="56">
        <v>1779.2311088030001</v>
      </c>
      <c r="H140" s="4">
        <f t="shared" si="152"/>
        <v>0.98999286543072895</v>
      </c>
      <c r="I140" s="4">
        <f>SUMIFS($G$3:$G140,$D$3:$D140,D140)</f>
        <v>11605.594038011001</v>
      </c>
      <c r="J140" s="2">
        <f t="shared" si="93"/>
        <v>22727.924784994</v>
      </c>
      <c r="K140" s="95">
        <f t="shared" si="100"/>
        <v>0.12383593452098518</v>
      </c>
      <c r="L140" s="95">
        <f t="shared" si="101"/>
        <v>0.17974388176292178</v>
      </c>
      <c r="M140" s="95">
        <f t="shared" si="116"/>
        <v>7.5643574678505354E-2</v>
      </c>
      <c r="N140" s="4">
        <v>1346.3023710800001</v>
      </c>
      <c r="O140" s="4">
        <f t="shared" si="135"/>
        <v>0.74910433809711874</v>
      </c>
      <c r="P140" s="4">
        <f>SUMIFS($N$3:$N140,$D$3:$D140,D140)</f>
        <v>8294.4804263679998</v>
      </c>
      <c r="Q140" s="4">
        <f t="shared" si="127"/>
        <v>16122.623755544999</v>
      </c>
      <c r="R140" s="97">
        <f t="shared" si="102"/>
        <v>0.27865980929534429</v>
      </c>
      <c r="S140" s="97">
        <f t="shared" si="103"/>
        <v>0.19149012420278799</v>
      </c>
      <c r="T140" s="97">
        <f t="shared" si="117"/>
        <v>0.12700157169380355</v>
      </c>
      <c r="U140" s="4">
        <v>784.69210241099995</v>
      </c>
      <c r="V140" s="4">
        <f t="shared" si="94"/>
        <v>8825.4586590769995</v>
      </c>
      <c r="W140" s="97">
        <f t="shared" si="122"/>
        <v>0.18253036648983967</v>
      </c>
      <c r="X140" s="97">
        <f t="shared" si="104"/>
        <v>0.4291859984278954</v>
      </c>
      <c r="Y140" s="4">
        <v>593.08957877300008</v>
      </c>
      <c r="Z140" s="4">
        <f t="shared" si="95"/>
        <v>7298.7889832270012</v>
      </c>
      <c r="AA140" s="97">
        <f t="shared" si="123"/>
        <v>7.1668513646679033E-2</v>
      </c>
      <c r="AB140" s="97">
        <f t="shared" si="105"/>
        <v>0.15412955363102365</v>
      </c>
      <c r="AC140" s="4">
        <v>159.043644306</v>
      </c>
      <c r="AD140" s="4">
        <f t="shared" si="136"/>
        <v>8.8494447054138142E-2</v>
      </c>
      <c r="AE140" s="4">
        <v>34.312768765000001</v>
      </c>
      <c r="AF140" s="4">
        <f t="shared" si="137"/>
        <v>1.9092177571792629E-2</v>
      </c>
      <c r="AG140" s="4">
        <v>239.57232465199996</v>
      </c>
      <c r="AH140" s="4">
        <f t="shared" si="138"/>
        <v>53.688850270785188</v>
      </c>
      <c r="AI140" s="4">
        <v>136.99586712600001</v>
      </c>
      <c r="AJ140" s="4">
        <f t="shared" si="139"/>
        <v>19.702781118413448</v>
      </c>
      <c r="AK140" s="101">
        <f>SUMIFS($AJ$3:$AJ140,$D$3:$D140,D140)</f>
        <v>189.7087215836336</v>
      </c>
      <c r="AL140" s="4">
        <v>22.06</v>
      </c>
      <c r="AM140" s="4">
        <f t="shared" si="140"/>
        <v>3.172674917794736</v>
      </c>
      <c r="AN140" s="101">
        <f>SUMIFS($AM$3:$AM140,$D$3:$D140,D140)</f>
        <v>23.630819147462262</v>
      </c>
      <c r="AO140" s="4">
        <f t="shared" si="153"/>
        <v>80.516457525999954</v>
      </c>
      <c r="AP140" s="56">
        <v>2013.6530035140004</v>
      </c>
      <c r="AQ140" s="4">
        <f t="shared" si="141"/>
        <v>1.1204289859079479</v>
      </c>
      <c r="AR140" s="4">
        <f>SUMIFS($AP$3:$AP140,$D$3:$D140,D140)</f>
        <v>10231.364288698001</v>
      </c>
      <c r="AS140" s="4">
        <f t="shared" si="96"/>
        <v>21179.648657633996</v>
      </c>
      <c r="AT140" s="97">
        <f t="shared" si="106"/>
        <v>0.38065472245405907</v>
      </c>
      <c r="AU140" s="97">
        <f t="shared" si="107"/>
        <v>5.6192752938075907E-2</v>
      </c>
      <c r="AV140" s="98">
        <f t="shared" si="131"/>
        <v>2.5658299850057409E-2</v>
      </c>
      <c r="AW140" s="4">
        <v>946.61697093900011</v>
      </c>
      <c r="AX140" s="4">
        <f>SUMIFS($AW$3:$AW140,$D$3:$D140,D140)</f>
        <v>5499.9787670259993</v>
      </c>
      <c r="AY140" s="4">
        <f t="shared" si="97"/>
        <v>11726.341916202999</v>
      </c>
      <c r="AZ140" s="97">
        <f t="shared" si="108"/>
        <v>6.8971761619635918E-2</v>
      </c>
      <c r="BA140" s="97">
        <f t="shared" si="109"/>
        <v>5.4978824719547292E-2</v>
      </c>
      <c r="BB140" s="97">
        <f t="shared" si="124"/>
        <v>7.8573010871385351E-2</v>
      </c>
      <c r="BC140" s="4">
        <v>591.52793539000004</v>
      </c>
      <c r="BD140" s="4">
        <f t="shared" si="154"/>
        <v>355.08903554900007</v>
      </c>
      <c r="BE140" s="4">
        <v>179.66862202999999</v>
      </c>
      <c r="BF140" s="4">
        <v>25.340339022999999</v>
      </c>
      <c r="BG140" s="4">
        <f t="shared" si="142"/>
        <v>3.6444541263230854</v>
      </c>
      <c r="BH140" s="4">
        <f>Datos1[[#This Row],[Intereses]]/Datos1[[#This Row],[PIB nominal (miles de millones de G.)]]*100</f>
        <v>1.4099773051542088E-2</v>
      </c>
      <c r="BI140" s="4">
        <v>548.31195986300008</v>
      </c>
      <c r="BJ140" s="4">
        <v>276.59974458799996</v>
      </c>
      <c r="BK140" s="4">
        <v>37.115367071000001</v>
      </c>
      <c r="BL140" s="56">
        <f t="shared" si="143"/>
        <v>-234.42189471100028</v>
      </c>
      <c r="BM140" s="56">
        <f>SUMIFS($BL$3:$BL140,$D$3:$D140,D140)</f>
        <v>1374.2297493129995</v>
      </c>
      <c r="BN140" s="56">
        <f t="shared" si="128"/>
        <v>1548.2761273600011</v>
      </c>
      <c r="BO140" s="100">
        <f t="shared" si="110"/>
        <v>-5.7192614439668477</v>
      </c>
      <c r="BP140" s="100">
        <f t="shared" si="111"/>
        <v>1.148089198224409</v>
      </c>
      <c r="BQ140" s="100">
        <f t="shared" si="119"/>
        <v>2.2269452651675143</v>
      </c>
      <c r="BR140" s="2">
        <f t="shared" si="144"/>
        <v>-0.13043612047721886</v>
      </c>
      <c r="BS140" s="2">
        <f>+Datos1[[#This Row],[RON acumulado 12 meses]]/Datos1[[#This Row],[PIB nominal (miles de millones de G.)]]*100</f>
        <v>0.86148579137328496</v>
      </c>
      <c r="BT140" s="56">
        <v>165.87081996500001</v>
      </c>
      <c r="BU140" s="56">
        <f>SUMIFS($BT$3:$BT140,$D$3:$D140,D140)</f>
        <v>955.26026713800002</v>
      </c>
      <c r="BV140" s="56">
        <f t="shared" si="98"/>
        <v>2750.7915464870002</v>
      </c>
      <c r="BW140" s="100">
        <f t="shared" si="112"/>
        <v>0.16081899651649567</v>
      </c>
      <c r="BX140" s="100">
        <f t="shared" si="113"/>
        <v>-0.15280524897625936</v>
      </c>
      <c r="BY140" s="100">
        <f t="shared" si="120"/>
        <v>-0.15533822456688962</v>
      </c>
      <c r="BZ140" s="56">
        <f t="shared" si="145"/>
        <v>23.855584319900355</v>
      </c>
      <c r="CA140" s="56">
        <f>Datos1[[#This Row],[Adquisición Neta de Activos no Financieros]]/Datos1[[#This Row],[PIB nominal (miles de millones de G.)]]*100</f>
        <v>9.2293197626793916E-2</v>
      </c>
      <c r="CB140" s="56">
        <f>+Datos1[[#This Row],[ANANF acumulado por año]]/Datos1[[#This Row],[PIB nominal (miles de millones de G.)]]*100</f>
        <v>0.53152220890084623</v>
      </c>
      <c r="CC140" s="56">
        <f>+Datos1[[#This Row],[ANANF acumulado 12 meses]]/Datos1[[#This Row],[PIB nominal (miles de millones de G.)]]*100</f>
        <v>1.5305847519389439</v>
      </c>
      <c r="CD140" s="4">
        <v>94.935003724000012</v>
      </c>
      <c r="CE140" s="4">
        <f t="shared" si="146"/>
        <v>13.653576842061863</v>
      </c>
      <c r="CF140" s="4">
        <f t="shared" si="147"/>
        <v>70.935816240999998</v>
      </c>
      <c r="CG140" s="4">
        <f t="shared" si="148"/>
        <v>10.202007477838494</v>
      </c>
      <c r="CH140" s="56">
        <f t="shared" si="149"/>
        <v>-400.29271467600029</v>
      </c>
      <c r="CI140" s="56">
        <f>SUMIFS($CH$3:$CH140,$D$3:$D140,D140)</f>
        <v>418.96948217499948</v>
      </c>
      <c r="CJ140" s="56">
        <f t="shared" si="129"/>
        <v>-1202.5154191269992</v>
      </c>
      <c r="CK140" s="56">
        <f>Datos1[[#This Row],[Resultado Fiscal (miles de millones de G.)]]*1000/$F$207</f>
        <v>-57.570201977720352</v>
      </c>
      <c r="CL140" s="56">
        <f t="shared" si="99"/>
        <v>-172.94607926226897</v>
      </c>
      <c r="CM140" s="100">
        <f t="shared" si="114"/>
        <v>3.2941673570993322</v>
      </c>
      <c r="CN140" s="100">
        <f t="shared" si="115"/>
        <v>-1.8588754650723591</v>
      </c>
      <c r="CO140" s="100">
        <f t="shared" si="121"/>
        <v>-0.5669547900960703</v>
      </c>
      <c r="CP140" s="4">
        <f t="shared" si="150"/>
        <v>-0.22272931810401278</v>
      </c>
      <c r="CQ140" s="4">
        <f t="shared" si="130"/>
        <v>-0.66909896056565887</v>
      </c>
      <c r="CR140" s="73">
        <v>1043.1052173590001</v>
      </c>
      <c r="CS140" s="113">
        <f>SUM(Datos1[[#This Row],[FFPP]:[MTESS]])</f>
        <v>0</v>
      </c>
      <c r="CT140" s="113"/>
      <c r="CU140" s="113"/>
      <c r="CV140" s="113"/>
      <c r="CW140" s="113"/>
      <c r="CX140" s="113"/>
      <c r="CY140" s="113"/>
      <c r="CZ140" s="113"/>
    </row>
    <row r="141" spans="1:104">
      <c r="A141">
        <v>139</v>
      </c>
      <c r="B141" s="3">
        <v>41821</v>
      </c>
      <c r="C141" s="14" t="str">
        <f t="shared" si="132"/>
        <v>Julio</v>
      </c>
      <c r="D141" s="14">
        <f t="shared" si="151"/>
        <v>2014</v>
      </c>
      <c r="E141" s="15">
        <f t="shared" si="133"/>
        <v>179721.60920865697</v>
      </c>
      <c r="F141" s="15">
        <f t="shared" si="134"/>
        <v>4462.2360777646109</v>
      </c>
      <c r="G141" s="56">
        <v>2337.0629295989997</v>
      </c>
      <c r="H141" s="4">
        <f t="shared" si="152"/>
        <v>1.3003794812930187</v>
      </c>
      <c r="I141" s="4">
        <f>SUMIFS($G$3:$G141,$D$3:$D141,D141)</f>
        <v>13942.656967610001</v>
      </c>
      <c r="J141" s="2">
        <f t="shared" si="93"/>
        <v>23147.499001169999</v>
      </c>
      <c r="K141" s="95">
        <f t="shared" si="100"/>
        <v>0.13870986272164987</v>
      </c>
      <c r="L141" s="95">
        <f t="shared" si="101"/>
        <v>0.21881443850952231</v>
      </c>
      <c r="M141" s="95">
        <f t="shared" si="116"/>
        <v>9.7761784480272507E-2</v>
      </c>
      <c r="N141" s="4">
        <v>1720.9755525539999</v>
      </c>
      <c r="O141" s="4">
        <f t="shared" si="135"/>
        <v>0.95757853500852286</v>
      </c>
      <c r="P141" s="4">
        <f>SUMIFS($N$3:$N141,$D$3:$D141,D141)</f>
        <v>10015.455978922</v>
      </c>
      <c r="Q141" s="4">
        <f t="shared" si="127"/>
        <v>16460.640782268998</v>
      </c>
      <c r="R141" s="97">
        <f t="shared" si="102"/>
        <v>0.24441588117845758</v>
      </c>
      <c r="S141" s="97">
        <f t="shared" si="103"/>
        <v>0.20026177803605094</v>
      </c>
      <c r="T141" s="97">
        <f t="shared" si="117"/>
        <v>0.15731965144541182</v>
      </c>
      <c r="U141" s="4">
        <v>1012.4404822320001</v>
      </c>
      <c r="V141" s="4">
        <f t="shared" si="94"/>
        <v>9038.2645485605826</v>
      </c>
      <c r="W141" s="97">
        <f t="shared" si="122"/>
        <v>0.22098373946964989</v>
      </c>
      <c r="X141" s="97">
        <f t="shared" si="104"/>
        <v>0.26612891865039279</v>
      </c>
      <c r="Y141" s="4">
        <v>680.21144282199987</v>
      </c>
      <c r="Z141" s="4">
        <f t="shared" si="95"/>
        <v>7405.1621642849996</v>
      </c>
      <c r="AA141" s="97">
        <f t="shared" si="123"/>
        <v>9.1092742934918869E-2</v>
      </c>
      <c r="AB141" s="97">
        <f t="shared" si="105"/>
        <v>0.18537136358074946</v>
      </c>
      <c r="AC141" s="4">
        <v>185.461416125</v>
      </c>
      <c r="AD141" s="4">
        <f t="shared" si="136"/>
        <v>0.10319372107873745</v>
      </c>
      <c r="AE141" s="4">
        <v>85.237950539999986</v>
      </c>
      <c r="AF141" s="4">
        <f t="shared" si="137"/>
        <v>4.7427769490444881E-2</v>
      </c>
      <c r="AG141" s="4">
        <v>345.38801037999997</v>
      </c>
      <c r="AH141" s="4">
        <f t="shared" si="138"/>
        <v>77.402451228672916</v>
      </c>
      <c r="AI141" s="4">
        <v>215.92799427099999</v>
      </c>
      <c r="AJ141" s="4">
        <f t="shared" si="139"/>
        <v>31.054820103051998</v>
      </c>
      <c r="AK141" s="101">
        <f>SUMIFS($AJ$3:$AJ141,$D$3:$D141,D141)</f>
        <v>220.76354168668561</v>
      </c>
      <c r="AL141" s="4">
        <v>0</v>
      </c>
      <c r="AM141" s="4">
        <f t="shared" si="140"/>
        <v>0</v>
      </c>
      <c r="AN141" s="101">
        <f>SUMIFS($AM$3:$AM141,$D$3:$D141,D141)</f>
        <v>23.630819147462262</v>
      </c>
      <c r="AO141" s="4">
        <f t="shared" si="153"/>
        <v>129.46001610899998</v>
      </c>
      <c r="AP141" s="56">
        <v>1933.2570112699998</v>
      </c>
      <c r="AQ141" s="4">
        <f t="shared" si="141"/>
        <v>1.0756953600529398</v>
      </c>
      <c r="AR141" s="4">
        <f>SUMIFS($AP$3:$AP141,$D$3:$D141,D141)</f>
        <v>12164.621299968001</v>
      </c>
      <c r="AS141" s="4">
        <f t="shared" si="96"/>
        <v>21525.507351714998</v>
      </c>
      <c r="AT141" s="97">
        <f t="shared" si="106"/>
        <v>0.21787769984124328</v>
      </c>
      <c r="AU141" s="97">
        <f t="shared" si="107"/>
        <v>7.8957415371432749E-2</v>
      </c>
      <c r="AV141" s="98">
        <f t="shared" si="131"/>
        <v>4.2796097187935533E-2</v>
      </c>
      <c r="AW141" s="4">
        <v>917.12149505799994</v>
      </c>
      <c r="AX141" s="4">
        <f>SUMIFS($AW$3:$AW141,$D$3:$D141,D141)</f>
        <v>6417.100262083999</v>
      </c>
      <c r="AY141" s="4">
        <f t="shared" si="97"/>
        <v>11765.299108170999</v>
      </c>
      <c r="AZ141" s="97">
        <f t="shared" si="108"/>
        <v>4.4362076471249123E-2</v>
      </c>
      <c r="BA141" s="97">
        <f t="shared" si="109"/>
        <v>5.3448295242361832E-2</v>
      </c>
      <c r="BB141" s="97">
        <f t="shared" si="124"/>
        <v>7.5126457078745323E-2</v>
      </c>
      <c r="BC141" s="4">
        <v>588.78041080800006</v>
      </c>
      <c r="BD141" s="4">
        <f t="shared" si="154"/>
        <v>328.34108424999988</v>
      </c>
      <c r="BE141" s="4">
        <v>197.931231733</v>
      </c>
      <c r="BF141" s="4">
        <v>71.502778395999997</v>
      </c>
      <c r="BG141" s="4">
        <f t="shared" si="142"/>
        <v>10.283548121923143</v>
      </c>
      <c r="BH141" s="4">
        <f>Datos1[[#This Row],[Intereses]]/Datos1[[#This Row],[PIB nominal (miles de millones de G.)]]*100</f>
        <v>3.9785298334929331E-2</v>
      </c>
      <c r="BI141" s="4">
        <v>449.90764220999995</v>
      </c>
      <c r="BJ141" s="4">
        <v>238.995203971</v>
      </c>
      <c r="BK141" s="4">
        <v>57.798659901999997</v>
      </c>
      <c r="BL141" s="56">
        <f t="shared" si="143"/>
        <v>403.80591832899995</v>
      </c>
      <c r="BM141" s="56">
        <f>SUMIFS($BL$3:$BL141,$D$3:$D141,D141)</f>
        <v>1778.0356676419995</v>
      </c>
      <c r="BN141" s="56">
        <f t="shared" si="128"/>
        <v>1621.9916494550014</v>
      </c>
      <c r="BO141" s="100">
        <f t="shared" si="110"/>
        <v>0.22331919660802169</v>
      </c>
      <c r="BP141" s="100">
        <f t="shared" si="111"/>
        <v>0.83333719480001389</v>
      </c>
      <c r="BQ141" s="100">
        <f t="shared" si="119"/>
        <v>2.6533001028883407</v>
      </c>
      <c r="BR141" s="2">
        <f t="shared" si="144"/>
        <v>0.22468412124007908</v>
      </c>
      <c r="BS141" s="2">
        <f>+Datos1[[#This Row],[RON acumulado 12 meses]]/Datos1[[#This Row],[PIB nominal (miles de millones de G.)]]*100</f>
        <v>0.90250229596590548</v>
      </c>
      <c r="BT141" s="56">
        <v>323.142243173</v>
      </c>
      <c r="BU141" s="56">
        <f>SUMIFS($BT$3:$BT141,$D$3:$D141,D141)</f>
        <v>1278.402510311</v>
      </c>
      <c r="BV141" s="56">
        <f t="shared" si="98"/>
        <v>2908.174389879</v>
      </c>
      <c r="BW141" s="100">
        <f t="shared" si="112"/>
        <v>0.94946557238945695</v>
      </c>
      <c r="BX141" s="100">
        <f t="shared" si="113"/>
        <v>-1.153141432691962E-2</v>
      </c>
      <c r="BY141" s="100">
        <f t="shared" si="120"/>
        <v>-8.4779967542507606E-2</v>
      </c>
      <c r="BZ141" s="56">
        <f t="shared" si="145"/>
        <v>46.474401169306638</v>
      </c>
      <c r="CA141" s="56">
        <f>Datos1[[#This Row],[Adquisición Neta de Activos no Financieros]]/Datos1[[#This Row],[PIB nominal (miles de millones de G.)]]*100</f>
        <v>0.1798015522984949</v>
      </c>
      <c r="CB141" s="56">
        <f>+Datos1[[#This Row],[ANANF acumulado por año]]/Datos1[[#This Row],[PIB nominal (miles de millones de G.)]]*100</f>
        <v>0.71132376119934104</v>
      </c>
      <c r="CC141" s="56">
        <f>+Datos1[[#This Row],[ANANF acumulado 12 meses]]/Datos1[[#This Row],[PIB nominal (miles de millones de G.)]]*100</f>
        <v>1.6181551025968206</v>
      </c>
      <c r="CD141" s="4">
        <v>206.05538788699999</v>
      </c>
      <c r="CE141" s="4">
        <f t="shared" si="146"/>
        <v>29.634939293995927</v>
      </c>
      <c r="CF141" s="4">
        <f t="shared" si="147"/>
        <v>117.086855286</v>
      </c>
      <c r="CG141" s="4">
        <f t="shared" si="148"/>
        <v>16.839461875310707</v>
      </c>
      <c r="CH141" s="56">
        <f t="shared" si="149"/>
        <v>80.663675155999954</v>
      </c>
      <c r="CI141" s="56">
        <f>SUMIFS($CH$3:$CH141,$D$3:$D141,D141)</f>
        <v>499.63315733099944</v>
      </c>
      <c r="CJ141" s="56">
        <f t="shared" si="129"/>
        <v>-1286.1827404239989</v>
      </c>
      <c r="CK141" s="56">
        <f>Datos1[[#This Row],[Resultado Fiscal (miles de millones de G.)]]*1000/$F$207</f>
        <v>11.60107066838547</v>
      </c>
      <c r="CL141" s="56">
        <f t="shared" si="99"/>
        <v>-184.97913509717671</v>
      </c>
      <c r="CM141" s="100">
        <f t="shared" si="114"/>
        <v>-0.50913901274206286</v>
      </c>
      <c r="CN141" s="100">
        <f t="shared" si="115"/>
        <v>-2.5445533077435742</v>
      </c>
      <c r="CO141" s="100">
        <f t="shared" si="121"/>
        <v>-0.52948929605653583</v>
      </c>
      <c r="CP141" s="4">
        <f t="shared" si="150"/>
        <v>4.4882568941584169E-2</v>
      </c>
      <c r="CQ141" s="4">
        <f t="shared" si="130"/>
        <v>-0.71565280663091513</v>
      </c>
      <c r="CR141" s="73">
        <v>1008.049900099</v>
      </c>
      <c r="CS141" s="113">
        <f>SUM(Datos1[[#This Row],[FFPP]:[MTESS]])</f>
        <v>0</v>
      </c>
      <c r="CT141" s="113"/>
      <c r="CU141" s="113"/>
      <c r="CV141" s="113"/>
      <c r="CW141" s="113"/>
      <c r="CX141" s="113"/>
      <c r="CY141" s="113"/>
      <c r="CZ141" s="113"/>
    </row>
    <row r="142" spans="1:104">
      <c r="A142">
        <v>140</v>
      </c>
      <c r="B142" s="3">
        <v>41852</v>
      </c>
      <c r="C142" s="14" t="str">
        <f t="shared" si="132"/>
        <v>Agosto</v>
      </c>
      <c r="D142" s="14">
        <f t="shared" si="151"/>
        <v>2014</v>
      </c>
      <c r="E142" s="15">
        <f t="shared" si="133"/>
        <v>179721.60920865697</v>
      </c>
      <c r="F142" s="15">
        <f t="shared" si="134"/>
        <v>4462.2360777646109</v>
      </c>
      <c r="G142" s="56">
        <v>1604.0229955969999</v>
      </c>
      <c r="H142" s="4">
        <f t="shared" si="152"/>
        <v>0.89250424735220768</v>
      </c>
      <c r="I142" s="4">
        <f>SUMIFS($G$3:$G142,$D$3:$D142,D142)</f>
        <v>15546.679963207</v>
      </c>
      <c r="J142" s="2">
        <f t="shared" si="93"/>
        <v>23177.705380617001</v>
      </c>
      <c r="K142" s="95">
        <f t="shared" si="100"/>
        <v>0.12509743717898902</v>
      </c>
      <c r="L142" s="95">
        <f t="shared" si="101"/>
        <v>1.9193074426226975E-2</v>
      </c>
      <c r="M142" s="95">
        <f t="shared" si="116"/>
        <v>9.9274945358607258E-2</v>
      </c>
      <c r="N142" s="4">
        <v>1201.4531707429999</v>
      </c>
      <c r="O142" s="4">
        <f t="shared" si="135"/>
        <v>0.66850790844417129</v>
      </c>
      <c r="P142" s="4">
        <f>SUMIFS($N$3:$N142,$D$3:$D142,D142)</f>
        <v>11216.909149665</v>
      </c>
      <c r="Q142" s="4">
        <f t="shared" ref="Q142:Q173" si="155">SUM(N131:N142)</f>
        <v>16539.958370030003</v>
      </c>
      <c r="R142" s="97">
        <f t="shared" si="102"/>
        <v>7.0684495674059988E-2</v>
      </c>
      <c r="S142" s="97">
        <f t="shared" si="103"/>
        <v>0.18490205266169624</v>
      </c>
      <c r="T142" s="97">
        <f t="shared" si="117"/>
        <v>0.15857761711907004</v>
      </c>
      <c r="U142" s="4">
        <v>601.45182237800009</v>
      </c>
      <c r="V142" s="4">
        <f t="shared" si="94"/>
        <v>9143.4138480731654</v>
      </c>
      <c r="W142" s="97">
        <f t="shared" si="122"/>
        <v>0.22689830235225328</v>
      </c>
      <c r="X142" s="97">
        <f t="shared" si="104"/>
        <v>0.21186533347745429</v>
      </c>
      <c r="Y142" s="4">
        <v>676.71895570000004</v>
      </c>
      <c r="Z142" s="4">
        <f t="shared" si="95"/>
        <v>7464.1274752980016</v>
      </c>
      <c r="AA142" s="97">
        <f t="shared" si="123"/>
        <v>0.10379061403637646</v>
      </c>
      <c r="AB142" s="97">
        <f t="shared" si="105"/>
        <v>9.5451174622978474E-2</v>
      </c>
      <c r="AC142" s="4">
        <v>102.15718637500001</v>
      </c>
      <c r="AD142" s="4">
        <f t="shared" si="136"/>
        <v>5.6841905002305765E-2</v>
      </c>
      <c r="AE142" s="4">
        <v>63.214375419</v>
      </c>
      <c r="AF142" s="4">
        <f t="shared" si="137"/>
        <v>3.5173497331424428E-2</v>
      </c>
      <c r="AG142" s="4">
        <v>237.19826306000004</v>
      </c>
      <c r="AH142" s="4">
        <f t="shared" si="138"/>
        <v>53.156816207453154</v>
      </c>
      <c r="AI142" s="4">
        <v>129.337901085</v>
      </c>
      <c r="AJ142" s="4">
        <f t="shared" si="139"/>
        <v>18.601410457506624</v>
      </c>
      <c r="AK142" s="101">
        <f>SUMIFS($AJ$3:$AJ142,$D$3:$D142,D142)</f>
        <v>239.36495214419224</v>
      </c>
      <c r="AL142" s="4">
        <v>0</v>
      </c>
      <c r="AM142" s="4">
        <f t="shared" si="140"/>
        <v>0</v>
      </c>
      <c r="AN142" s="101">
        <f>SUMIFS($AM$3:$AM142,$D$3:$D142,D142)</f>
        <v>23.630819147462262</v>
      </c>
      <c r="AO142" s="4">
        <f t="shared" si="153"/>
        <v>107.86036197500005</v>
      </c>
      <c r="AP142" s="56">
        <v>1822.4246027969996</v>
      </c>
      <c r="AQ142" s="4">
        <f t="shared" si="141"/>
        <v>1.0140264216537047</v>
      </c>
      <c r="AR142" s="4">
        <f>SUMIFS($AP$3:$AP142,$D$3:$D142,D142)</f>
        <v>13987.045902765001</v>
      </c>
      <c r="AS142" s="4">
        <f t="shared" si="96"/>
        <v>21851.279225185001</v>
      </c>
      <c r="AT142" s="97">
        <f t="shared" si="106"/>
        <v>0.2176669758364651</v>
      </c>
      <c r="AU142" s="97">
        <f t="shared" si="107"/>
        <v>9.5212902514279607E-2</v>
      </c>
      <c r="AV142" s="98">
        <f t="shared" si="131"/>
        <v>5.7279284500453942E-2</v>
      </c>
      <c r="AW142" s="4">
        <v>921.10777238800006</v>
      </c>
      <c r="AX142" s="4">
        <f>SUMIFS($AW$3:$AW142,$D$3:$D142,D142)</f>
        <v>7338.2080344719989</v>
      </c>
      <c r="AY142" s="4">
        <f t="shared" si="97"/>
        <v>11797.169997224</v>
      </c>
      <c r="AZ142" s="97">
        <f t="shared" si="108"/>
        <v>3.5840718767165214E-2</v>
      </c>
      <c r="BA142" s="97">
        <f t="shared" si="109"/>
        <v>5.120537101137157E-2</v>
      </c>
      <c r="BB142" s="97">
        <f t="shared" si="124"/>
        <v>6.8747581549890358E-2</v>
      </c>
      <c r="BC142" s="4">
        <v>595.73973413299996</v>
      </c>
      <c r="BD142" s="4">
        <f t="shared" si="154"/>
        <v>325.3680382550001</v>
      </c>
      <c r="BE142" s="4">
        <v>199.67271246199999</v>
      </c>
      <c r="BF142" s="4">
        <v>54.139735023</v>
      </c>
      <c r="BG142" s="4">
        <f t="shared" si="142"/>
        <v>7.7863907236412206</v>
      </c>
      <c r="BH142" s="4">
        <f>Datos1[[#This Row],[Intereses]]/Datos1[[#This Row],[PIB nominal (miles de millones de G.)]]*100</f>
        <v>3.0124221155923277E-2</v>
      </c>
      <c r="BI142" s="4">
        <v>302.259772387</v>
      </c>
      <c r="BJ142" s="4">
        <v>316.27313285599996</v>
      </c>
      <c r="BK142" s="4">
        <v>28.971477681</v>
      </c>
      <c r="BL142" s="56">
        <f t="shared" si="143"/>
        <v>-218.40160719999972</v>
      </c>
      <c r="BM142" s="56">
        <f>SUMIFS($BL$3:$BL142,$D$3:$D142,D142)</f>
        <v>1559.6340604419997</v>
      </c>
      <c r="BN142" s="56">
        <f t="shared" ref="BN142:BN173" si="156">SUM(BL131:BL142)</f>
        <v>1326.4261554320015</v>
      </c>
      <c r="BO142" s="100">
        <f t="shared" si="110"/>
        <v>-3.8303603692355841</v>
      </c>
      <c r="BP142" s="100">
        <f t="shared" si="111"/>
        <v>0.4896225726447887</v>
      </c>
      <c r="BQ142" s="100">
        <f t="shared" si="119"/>
        <v>2.1802898344410293</v>
      </c>
      <c r="BR142" s="2">
        <f t="shared" si="144"/>
        <v>-0.12152217430149717</v>
      </c>
      <c r="BS142" s="2">
        <f>+Datos1[[#This Row],[RON acumulado 12 meses]]/Datos1[[#This Row],[PIB nominal (miles de millones de G.)]]*100</f>
        <v>0.73804489135862306</v>
      </c>
      <c r="BT142" s="56">
        <v>237.58214705699999</v>
      </c>
      <c r="BU142" s="56">
        <f>SUMIFS($BT$3:$BT142,$D$3:$D142,D142)</f>
        <v>1515.9846573679999</v>
      </c>
      <c r="BV142" s="56">
        <f t="shared" si="98"/>
        <v>3057.6502467829996</v>
      </c>
      <c r="BW142" s="100">
        <f t="shared" si="112"/>
        <v>1.6965401294780356</v>
      </c>
      <c r="BX142" s="100">
        <f t="shared" si="113"/>
        <v>9.7408348720124938E-2</v>
      </c>
      <c r="BY142" s="100">
        <f t="shared" si="120"/>
        <v>6.0216722347159468E-3</v>
      </c>
      <c r="BZ142" s="56">
        <f t="shared" si="145"/>
        <v>34.169125969336555</v>
      </c>
      <c r="CA142" s="56">
        <f>Datos1[[#This Row],[Adquisición Neta de Activos no Financieros]]/Datos1[[#This Row],[PIB nominal (miles de millones de G.)]]*100</f>
        <v>0.13219453581743021</v>
      </c>
      <c r="CB142" s="56">
        <f>+Datos1[[#This Row],[ANANF acumulado por año]]/Datos1[[#This Row],[PIB nominal (miles de millones de G.)]]*100</f>
        <v>0.84351829701677128</v>
      </c>
      <c r="CC142" s="56">
        <f>+Datos1[[#This Row],[ANANF acumulado 12 meses]]/Datos1[[#This Row],[PIB nominal (miles de millones de G.)]]*100</f>
        <v>1.7013258785330954</v>
      </c>
      <c r="CD142" s="4">
        <v>149.187232935</v>
      </c>
      <c r="CE142" s="4">
        <f t="shared" si="146"/>
        <v>21.456146508978936</v>
      </c>
      <c r="CF142" s="4">
        <f t="shared" si="147"/>
        <v>88.394914121999989</v>
      </c>
      <c r="CG142" s="4">
        <f t="shared" si="148"/>
        <v>12.712979460357619</v>
      </c>
      <c r="CH142" s="56">
        <f t="shared" si="149"/>
        <v>-455.9837542569997</v>
      </c>
      <c r="CI142" s="56">
        <f>SUMIFS($CH$3:$CH142,$D$3:$D142,D142)</f>
        <v>43.649403073999736</v>
      </c>
      <c r="CJ142" s="56">
        <f t="shared" ref="CJ142:CJ173" si="157">SUM(CH131:CH142)</f>
        <v>-1731.2240913509986</v>
      </c>
      <c r="CK142" s="56">
        <f>Datos1[[#This Row],[Resultado Fiscal (miles de millones de G.)]]*1000/$F$207</f>
        <v>-65.579701724980126</v>
      </c>
      <c r="CL142" s="56">
        <f t="shared" si="99"/>
        <v>-248.9850975390433</v>
      </c>
      <c r="CM142" s="100">
        <f t="shared" si="114"/>
        <v>40.671261833940129</v>
      </c>
      <c r="CN142" s="100">
        <f t="shared" si="115"/>
        <v>-1.1305215010338843</v>
      </c>
      <c r="CO142" s="100">
        <f t="shared" si="121"/>
        <v>-0.33979974341147823</v>
      </c>
      <c r="CP142" s="4">
        <f t="shared" si="150"/>
        <v>-0.25371671011892738</v>
      </c>
      <c r="CQ142" s="4">
        <f t="shared" ref="CQ142:CQ173" si="158">+CJ142/E142*100</f>
        <v>-0.96328098717447264</v>
      </c>
      <c r="CR142" s="73">
        <v>1013.244630081</v>
      </c>
      <c r="CS142" s="113">
        <f>SUM(Datos1[[#This Row],[FFPP]:[MTESS]])</f>
        <v>0</v>
      </c>
      <c r="CT142" s="113"/>
      <c r="CU142" s="113"/>
      <c r="CV142" s="113"/>
      <c r="CW142" s="113"/>
      <c r="CX142" s="113"/>
      <c r="CY142" s="113"/>
      <c r="CZ142" s="113"/>
    </row>
    <row r="143" spans="1:104">
      <c r="A143">
        <v>141</v>
      </c>
      <c r="B143" s="3">
        <v>41883</v>
      </c>
      <c r="C143" s="14" t="str">
        <f t="shared" si="132"/>
        <v>Septiembre</v>
      </c>
      <c r="D143" s="14">
        <f t="shared" si="151"/>
        <v>2014</v>
      </c>
      <c r="E143" s="15">
        <f t="shared" si="133"/>
        <v>179721.60920865697</v>
      </c>
      <c r="F143" s="15">
        <f t="shared" si="134"/>
        <v>4462.2360777646109</v>
      </c>
      <c r="G143" s="56">
        <v>2327.5078221570002</v>
      </c>
      <c r="H143" s="4">
        <f t="shared" si="152"/>
        <v>1.2950628655092673</v>
      </c>
      <c r="I143" s="4">
        <f>SUMIFS($G$3:$G143,$D$3:$D143,D143)</f>
        <v>17874.187785364</v>
      </c>
      <c r="J143" s="2">
        <f t="shared" ref="J143:J206" si="159">SUM(G132:G143)</f>
        <v>23667.801479471</v>
      </c>
      <c r="K143" s="95">
        <f t="shared" si="100"/>
        <v>0.14172040251597773</v>
      </c>
      <c r="L143" s="95">
        <f t="shared" si="101"/>
        <v>0.26673177962149119</v>
      </c>
      <c r="M143" s="95">
        <f t="shared" si="116"/>
        <v>0.12378475477692596</v>
      </c>
      <c r="N143" s="4">
        <v>1665.1637764650002</v>
      </c>
      <c r="O143" s="4">
        <f t="shared" si="135"/>
        <v>0.92652396325460418</v>
      </c>
      <c r="P143" s="4">
        <f>SUMIFS($N$3:$N143,$D$3:$D143,D143)</f>
        <v>12882.07292613</v>
      </c>
      <c r="Q143" s="4">
        <f t="shared" si="155"/>
        <v>16791.152241213</v>
      </c>
      <c r="R143" s="97">
        <f t="shared" si="102"/>
        <v>0.17765149756345244</v>
      </c>
      <c r="S143" s="97">
        <f t="shared" si="103"/>
        <v>0.1839598102895772</v>
      </c>
      <c r="T143" s="97">
        <f t="shared" si="117"/>
        <v>0.16848995247763865</v>
      </c>
      <c r="U143" s="4">
        <v>966.35243043000014</v>
      </c>
      <c r="V143" s="4">
        <f t="shared" ref="V143:V206" si="160">SUM(U132:U143)</f>
        <v>9288.0605772287508</v>
      </c>
      <c r="W143" s="97">
        <f t="shared" si="122"/>
        <v>0.23478041066499022</v>
      </c>
      <c r="X143" s="97">
        <f t="shared" si="104"/>
        <v>0.17603228130368964</v>
      </c>
      <c r="Y143" s="4">
        <v>653.14770236999993</v>
      </c>
      <c r="Z143" s="4">
        <f t="shared" ref="Z143:Z206" si="161">SUM(Y132:Y143)</f>
        <v>7491.5056188240014</v>
      </c>
      <c r="AA143" s="97">
        <f t="shared" si="123"/>
        <v>9.8426050394775588E-2</v>
      </c>
      <c r="AB143" s="97">
        <f t="shared" si="105"/>
        <v>4.3751159095332559E-2</v>
      </c>
      <c r="AC143" s="4">
        <v>116.351130492</v>
      </c>
      <c r="AD143" s="4">
        <f t="shared" si="136"/>
        <v>6.4739644277787556E-2</v>
      </c>
      <c r="AE143" s="4">
        <v>99.261855652999998</v>
      </c>
      <c r="AF143" s="4">
        <f t="shared" si="137"/>
        <v>5.5230896323522717E-2</v>
      </c>
      <c r="AG143" s="4">
        <v>446.73105954700009</v>
      </c>
      <c r="AH143" s="4">
        <f t="shared" si="138"/>
        <v>100.11372140821227</v>
      </c>
      <c r="AI143" s="4">
        <v>365.02848912100001</v>
      </c>
      <c r="AJ143" s="4">
        <f t="shared" si="139"/>
        <v>52.498491918164341</v>
      </c>
      <c r="AK143" s="101">
        <f>SUMIFS($AJ$3:$AJ143,$D$3:$D143,D143)</f>
        <v>291.86344406235656</v>
      </c>
      <c r="AL143" s="4">
        <v>0</v>
      </c>
      <c r="AM143" s="4">
        <f t="shared" si="140"/>
        <v>0</v>
      </c>
      <c r="AN143" s="101">
        <f>SUMIFS($AM$3:$AM143,$D$3:$D143,D143)</f>
        <v>23.630819147462262</v>
      </c>
      <c r="AO143" s="4">
        <f t="shared" si="153"/>
        <v>81.702570426000079</v>
      </c>
      <c r="AP143" s="56">
        <v>1867.2502377070005</v>
      </c>
      <c r="AQ143" s="4">
        <f t="shared" si="141"/>
        <v>1.0389681273881324</v>
      </c>
      <c r="AR143" s="4">
        <f>SUMIFS($AP$3:$AP143,$D$3:$D143,D143)</f>
        <v>15854.296140472001</v>
      </c>
      <c r="AS143" s="4">
        <f t="shared" ref="AS143:AS206" si="162">SUM(AP132:AP143)</f>
        <v>22175.065740565002</v>
      </c>
      <c r="AT143" s="97">
        <f t="shared" si="106"/>
        <v>0.2097791549592396</v>
      </c>
      <c r="AU143" s="97">
        <f t="shared" si="107"/>
        <v>0.10756599752632101</v>
      </c>
      <c r="AV143" s="98">
        <f t="shared" si="131"/>
        <v>6.2597963715760097E-2</v>
      </c>
      <c r="AW143" s="4">
        <v>972.72347703900027</v>
      </c>
      <c r="AX143" s="4">
        <f>SUMIFS($AW$3:$AW143,$D$3:$D143,D143)</f>
        <v>8310.9315115109985</v>
      </c>
      <c r="AY143" s="4">
        <f t="shared" ref="AY143:AY206" si="163">SUM(AW132:AW143)</f>
        <v>11867.938097084001</v>
      </c>
      <c r="AZ143" s="97">
        <f t="shared" si="108"/>
        <v>7.846075498916405E-2</v>
      </c>
      <c r="BA143" s="97">
        <f t="shared" si="109"/>
        <v>5.4323985844945133E-2</v>
      </c>
      <c r="BB143" s="97">
        <f t="shared" si="124"/>
        <v>6.6128838871539752E-2</v>
      </c>
      <c r="BC143" s="4">
        <v>633.00220370900001</v>
      </c>
      <c r="BD143" s="4">
        <f t="shared" si="154"/>
        <v>339.72127333000026</v>
      </c>
      <c r="BE143" s="4">
        <v>192.36874973300002</v>
      </c>
      <c r="BF143" s="4">
        <v>66.953650913000004</v>
      </c>
      <c r="BG143" s="4">
        <f t="shared" si="142"/>
        <v>9.6292914282166695</v>
      </c>
      <c r="BH143" s="4">
        <f>Datos1[[#This Row],[Intereses]]/Datos1[[#This Row],[PIB nominal (miles de millones de G.)]]*100</f>
        <v>3.7254090483502596E-2</v>
      </c>
      <c r="BI143" s="4">
        <v>320.85291607700003</v>
      </c>
      <c r="BJ143" s="4">
        <v>255.41199177500002</v>
      </c>
      <c r="BK143" s="4">
        <v>58.939452170000003</v>
      </c>
      <c r="BL143" s="56">
        <f t="shared" si="143"/>
        <v>460.25758444999974</v>
      </c>
      <c r="BM143" s="56">
        <f>SUMIFS($BL$3:$BL143,$D$3:$D143,D143)</f>
        <v>2019.8916448919995</v>
      </c>
      <c r="BN143" s="56">
        <f t="shared" si="156"/>
        <v>1492.735738906001</v>
      </c>
      <c r="BO143" s="100">
        <f t="shared" si="110"/>
        <v>0.56577892321702872</v>
      </c>
      <c r="BP143" s="100">
        <f t="shared" si="111"/>
        <v>0.50631674397757132</v>
      </c>
      <c r="BQ143" s="100">
        <f t="shared" si="119"/>
        <v>6.7718309517080275</v>
      </c>
      <c r="BR143" s="2">
        <f t="shared" si="144"/>
        <v>0.25609473812113503</v>
      </c>
      <c r="BS143" s="2">
        <f>+Datos1[[#This Row],[RON acumulado 12 meses]]/Datos1[[#This Row],[PIB nominal (miles de millones de G.)]]*100</f>
        <v>0.83058222407352988</v>
      </c>
      <c r="BT143" s="56">
        <v>292.72380044300002</v>
      </c>
      <c r="BU143" s="56">
        <f>SUMIFS($BT$3:$BT143,$D$3:$D143,D143)</f>
        <v>1808.708457811</v>
      </c>
      <c r="BV143" s="56">
        <f t="shared" ref="BV143:BV206" si="164">SUM(BT132:BT143)</f>
        <v>3135.4273017320002</v>
      </c>
      <c r="BW143" s="100">
        <f t="shared" si="112"/>
        <v>0.36184337087890928</v>
      </c>
      <c r="BX143" s="100">
        <f t="shared" si="113"/>
        <v>0.13301379852909689</v>
      </c>
      <c r="BY143" s="100">
        <f t="shared" si="120"/>
        <v>1.9580220992967634E-2</v>
      </c>
      <c r="BZ143" s="56">
        <f t="shared" si="145"/>
        <v>42.099612851634539</v>
      </c>
      <c r="CA143" s="56">
        <f>Datos1[[#This Row],[Adquisición Neta de Activos no Financieros]]/Datos1[[#This Row],[PIB nominal (miles de millones de G.)]]*100</f>
        <v>0.1628762404987969</v>
      </c>
      <c r="CB143" s="56">
        <f>+Datos1[[#This Row],[ANANF acumulado por año]]/Datos1[[#This Row],[PIB nominal (miles de millones de G.)]]*100</f>
        <v>1.0063945375155683</v>
      </c>
      <c r="CC143" s="56">
        <f>+Datos1[[#This Row],[ANANF acumulado 12 meses]]/Datos1[[#This Row],[PIB nominal (miles de millones de G.)]]*100</f>
        <v>1.744602285466833</v>
      </c>
      <c r="CD143" s="4">
        <v>194.78149021000004</v>
      </c>
      <c r="CE143" s="4">
        <f t="shared" si="146"/>
        <v>28.01352440797589</v>
      </c>
      <c r="CF143" s="4">
        <f t="shared" si="147"/>
        <v>97.942310232999972</v>
      </c>
      <c r="CG143" s="4">
        <f t="shared" si="148"/>
        <v>14.086088443658646</v>
      </c>
      <c r="CH143" s="56">
        <f t="shared" si="149"/>
        <v>167.53378400699972</v>
      </c>
      <c r="CI143" s="56">
        <f>SUMIFS($CH$3:$CH143,$D$3:$D143,D143)</f>
        <v>211.18318708099946</v>
      </c>
      <c r="CJ143" s="56">
        <f t="shared" si="157"/>
        <v>-1642.6915628259992</v>
      </c>
      <c r="CK143" s="56">
        <f>Datos1[[#This Row],[Resultado Fiscal (miles de millones de G.)]]*1000/$F$207</f>
        <v>24.094752239449182</v>
      </c>
      <c r="CL143" s="56">
        <f t="shared" ref="CL143:CL206" si="165">SUM(CK132:CK143)</f>
        <v>-236.25232633957768</v>
      </c>
      <c r="CM143" s="100">
        <f t="shared" si="114"/>
        <v>1.1206471085155214</v>
      </c>
      <c r="CN143" s="100">
        <f t="shared" si="115"/>
        <v>-1.8268016372360349</v>
      </c>
      <c r="CO143" s="100">
        <f t="shared" si="121"/>
        <v>-0.4302429524379926</v>
      </c>
      <c r="CP143" s="4">
        <f t="shared" si="150"/>
        <v>9.3218497622338123E-2</v>
      </c>
      <c r="CQ143" s="4">
        <f t="shared" si="158"/>
        <v>-0.91402006139330338</v>
      </c>
      <c r="CR143" s="73">
        <v>1065.9146930859999</v>
      </c>
      <c r="CS143" s="113">
        <f>SUM(Datos1[[#This Row],[FFPP]:[MTESS]])</f>
        <v>0</v>
      </c>
      <c r="CT143" s="113"/>
      <c r="CU143" s="113"/>
      <c r="CV143" s="113"/>
      <c r="CW143" s="113"/>
      <c r="CX143" s="113"/>
      <c r="CY143" s="113"/>
      <c r="CZ143" s="113"/>
    </row>
    <row r="144" spans="1:104">
      <c r="A144">
        <v>142</v>
      </c>
      <c r="B144" s="3">
        <v>41913</v>
      </c>
      <c r="C144" s="14" t="str">
        <f t="shared" si="132"/>
        <v>Octubre</v>
      </c>
      <c r="D144" s="14">
        <f t="shared" si="151"/>
        <v>2014</v>
      </c>
      <c r="E144" s="15">
        <f t="shared" si="133"/>
        <v>179721.60920865697</v>
      </c>
      <c r="F144" s="15">
        <f t="shared" si="134"/>
        <v>4462.2360777646109</v>
      </c>
      <c r="G144" s="56">
        <v>2034.723694497</v>
      </c>
      <c r="H144" s="4">
        <f t="shared" si="152"/>
        <v>1.1321530579746166</v>
      </c>
      <c r="I144" s="4">
        <f>SUMIFS($G$3:$G144,$D$3:$D144,D144)</f>
        <v>19908.911479860999</v>
      </c>
      <c r="J144" s="2">
        <f t="shared" si="159"/>
        <v>24053.519311504999</v>
      </c>
      <c r="K144" s="95">
        <f t="shared" ref="K144:K208" si="166">IFERROR(I144/I132-1,0)</f>
        <v>0.15050540808576374</v>
      </c>
      <c r="L144" s="95">
        <f t="shared" ref="L144:L208" si="167">IFERROR(G144/G132-1,0)</f>
        <v>0.23390931519059688</v>
      </c>
      <c r="M144" s="95">
        <f t="shared" si="116"/>
        <v>0.14009018666577022</v>
      </c>
      <c r="N144" s="4">
        <v>1563.2321440559999</v>
      </c>
      <c r="O144" s="4">
        <f t="shared" si="135"/>
        <v>0.86980756011431315</v>
      </c>
      <c r="P144" s="4">
        <f>SUMIFS($N$3:$N144,$D$3:$D144,D144)</f>
        <v>14445.305070186001</v>
      </c>
      <c r="Q144" s="4">
        <f t="shared" si="155"/>
        <v>17200.206139097001</v>
      </c>
      <c r="R144" s="97">
        <f t="shared" ref="R144:R207" si="168">IFERROR(N144/N132-1,0)</f>
        <v>0.35441137384168053</v>
      </c>
      <c r="S144" s="97">
        <f t="shared" ref="S144:S207" si="169">IFERROR(P144/P132-1,0)</f>
        <v>0.20030686231411665</v>
      </c>
      <c r="T144" s="97">
        <f t="shared" si="117"/>
        <v>0.18999716361739871</v>
      </c>
      <c r="U144" s="4">
        <v>720.92221069799996</v>
      </c>
      <c r="V144" s="4">
        <f t="shared" si="160"/>
        <v>9519.5238450003344</v>
      </c>
      <c r="W144" s="97">
        <f t="shared" si="122"/>
        <v>0.25458327178833762</v>
      </c>
      <c r="X144" s="97">
        <f t="shared" ref="X144:X207" si="170">IFERROR(U144/U132-1,0)</f>
        <v>0.4728961869359094</v>
      </c>
      <c r="Y144" s="4">
        <v>773.96713781400001</v>
      </c>
      <c r="Z144" s="4">
        <f t="shared" si="161"/>
        <v>7610.4372935170004</v>
      </c>
      <c r="AA144" s="97">
        <f t="shared" si="123"/>
        <v>0.11170593484289126</v>
      </c>
      <c r="AB144" s="97">
        <f t="shared" ref="AB144:AB207" si="171">IFERROR(Y144/Y132-1,0)</f>
        <v>0.18156524553088271</v>
      </c>
      <c r="AC144" s="4">
        <v>166.999240069</v>
      </c>
      <c r="AD144" s="4">
        <f t="shared" si="136"/>
        <v>9.2921068759802675E-2</v>
      </c>
      <c r="AE144" s="4">
        <v>56.524752751000001</v>
      </c>
      <c r="AF144" s="4">
        <f t="shared" si="137"/>
        <v>3.1451283459950942E-2</v>
      </c>
      <c r="AG144" s="4">
        <v>247.967557621</v>
      </c>
      <c r="AH144" s="4">
        <f t="shared" si="138"/>
        <v>55.570246239688224</v>
      </c>
      <c r="AI144" s="4">
        <v>138.975383534</v>
      </c>
      <c r="AJ144" s="4">
        <f t="shared" si="139"/>
        <v>19.987475681288547</v>
      </c>
      <c r="AK144" s="101">
        <f>SUMIFS($AJ$3:$AJ144,$D$3:$D144,D144)</f>
        <v>311.85091974364514</v>
      </c>
      <c r="AL144" s="4">
        <v>0</v>
      </c>
      <c r="AM144" s="4">
        <f t="shared" si="140"/>
        <v>0</v>
      </c>
      <c r="AN144" s="101">
        <f>SUMIFS($AM$3:$AM144,$D$3:$D144,D144)</f>
        <v>23.630819147462262</v>
      </c>
      <c r="AO144" s="4">
        <f t="shared" si="153"/>
        <v>108.992174087</v>
      </c>
      <c r="AP144" s="56">
        <v>1838.2170359380002</v>
      </c>
      <c r="AQ144" s="4">
        <f t="shared" si="141"/>
        <v>1.0228135859855496</v>
      </c>
      <c r="AR144" s="4">
        <f>SUMIFS($AP$3:$AP144,$D$3:$D144,D144)</f>
        <v>17692.513176410001</v>
      </c>
      <c r="AS144" s="4">
        <f t="shared" si="162"/>
        <v>22485.931969424</v>
      </c>
      <c r="AT144" s="97">
        <f t="shared" ref="AT144:AT208" si="172">IFERROR(AP144/AP132-1,0)</f>
        <v>0.20353295877946986</v>
      </c>
      <c r="AU144" s="97">
        <f t="shared" ref="AU144:AU208" si="173">IFERROR(AR144/AR132-1,0)</f>
        <v>0.11681837978018073</v>
      </c>
      <c r="AV144" s="98">
        <f t="shared" si="131"/>
        <v>8.0244229137023781E-2</v>
      </c>
      <c r="AW144" s="4">
        <v>961.14837270400017</v>
      </c>
      <c r="AX144" s="4">
        <f>SUMIFS($AW$3:$AW144,$D$3:$D144,D144)</f>
        <v>9272.0798842149979</v>
      </c>
      <c r="AY144" s="4">
        <f t="shared" si="163"/>
        <v>11948.020430042001</v>
      </c>
      <c r="AZ144" s="97">
        <f t="shared" ref="AZ144:AZ207" si="174">IFERROR(AW144/AW132-1,0)</f>
        <v>9.0892543061910303E-2</v>
      </c>
      <c r="BA144" s="97">
        <f t="shared" ref="BA144:BA207" si="175">IFERROR(AX144/AX132-1,0)</f>
        <v>5.8000404463961486E-2</v>
      </c>
      <c r="BB144" s="97">
        <f t="shared" si="124"/>
        <v>6.8012285276764395E-2</v>
      </c>
      <c r="BC144" s="4">
        <v>606.27996245999998</v>
      </c>
      <c r="BD144" s="4">
        <f t="shared" si="154"/>
        <v>354.86841024400019</v>
      </c>
      <c r="BE144" s="4">
        <v>206.33094811200002</v>
      </c>
      <c r="BF144" s="4">
        <v>35.396357498</v>
      </c>
      <c r="BG144" s="4">
        <f t="shared" si="142"/>
        <v>5.0907133098458859</v>
      </c>
      <c r="BH144" s="4">
        <f>Datos1[[#This Row],[Intereses]]/Datos1[[#This Row],[PIB nominal (miles de millones de G.)]]*100</f>
        <v>1.9695103807414051E-2</v>
      </c>
      <c r="BI144" s="4">
        <v>281.337581333</v>
      </c>
      <c r="BJ144" s="4">
        <v>291.85382599700006</v>
      </c>
      <c r="BK144" s="4">
        <v>62.149950294000007</v>
      </c>
      <c r="BL144" s="56">
        <f t="shared" si="143"/>
        <v>196.50665855899979</v>
      </c>
      <c r="BM144" s="56">
        <f>SUMIFS($BL$3:$BL144,$D$3:$D144,D144)</f>
        <v>2216.3983034509993</v>
      </c>
      <c r="BN144" s="56">
        <f t="shared" si="156"/>
        <v>1567.5873420810008</v>
      </c>
      <c r="BO144" s="100">
        <f t="shared" ref="BO144:BO208" si="176">IFERROR(BL144/BL132-1,0)</f>
        <v>0.61527737535224736</v>
      </c>
      <c r="BP144" s="100">
        <f t="shared" ref="BP144:BP208" si="177">IFERROR(BM144/BM132-1,0)</f>
        <v>0.51537977464105311</v>
      </c>
      <c r="BQ144" s="100">
        <f t="shared" si="119"/>
        <v>4.5527343020301698</v>
      </c>
      <c r="BR144" s="2">
        <f t="shared" si="144"/>
        <v>0.10933947198906692</v>
      </c>
      <c r="BS144" s="2">
        <f>+Datos1[[#This Row],[RON acumulado 12 meses]]/Datos1[[#This Row],[PIB nominal (miles de millones de G.)]]*100</f>
        <v>0.87223086248967996</v>
      </c>
      <c r="BT144" s="56">
        <v>285.59587469899992</v>
      </c>
      <c r="BU144" s="56">
        <f>SUMIFS($BT$3:$BT144,$D$3:$D144,D144)</f>
        <v>2094.3043325099998</v>
      </c>
      <c r="BV144" s="56">
        <f t="shared" si="164"/>
        <v>3154.725827879</v>
      </c>
      <c r="BW144" s="100">
        <f t="shared" ref="BW144:BW208" si="178">IFERROR(BT144/BT132-1,0)</f>
        <v>7.246983964330167E-2</v>
      </c>
      <c r="BX144" s="100">
        <f t="shared" ref="BX144:BX208" si="179">IFERROR(BU144/BU132-1,0)</f>
        <v>0.12435809213494586</v>
      </c>
      <c r="BY144" s="100">
        <f t="shared" si="120"/>
        <v>-1.0266322180104703E-2</v>
      </c>
      <c r="BZ144" s="56">
        <f t="shared" si="145"/>
        <v>41.074472723624901</v>
      </c>
      <c r="CA144" s="56">
        <f>Datos1[[#This Row],[Adquisición Neta de Activos no Financieros]]/Datos1[[#This Row],[PIB nominal (miles de millones de G.)]]*100</f>
        <v>0.15891014773155232</v>
      </c>
      <c r="CB144" s="56">
        <f>+Datos1[[#This Row],[ANANF acumulado por año]]/Datos1[[#This Row],[PIB nominal (miles de millones de G.)]]*100</f>
        <v>1.1653046852471203</v>
      </c>
      <c r="CC144" s="56">
        <f>+Datos1[[#This Row],[ANANF acumulado 12 meses]]/Datos1[[#This Row],[PIB nominal (miles de millones de G.)]]*100</f>
        <v>1.7553402964561486</v>
      </c>
      <c r="CD144" s="4">
        <v>203.04056162799998</v>
      </c>
      <c r="CE144" s="4">
        <f t="shared" si="146"/>
        <v>29.201346200005069</v>
      </c>
      <c r="CF144" s="4">
        <f t="shared" si="147"/>
        <v>82.555313070999944</v>
      </c>
      <c r="CG144" s="4">
        <f t="shared" si="148"/>
        <v>11.873126523619829</v>
      </c>
      <c r="CH144" s="56">
        <f t="shared" si="149"/>
        <v>-89.089216140000133</v>
      </c>
      <c r="CI144" s="56">
        <f>SUMIFS($CH$3:$CH144,$D$3:$D144,D144)</f>
        <v>122.09397094099933</v>
      </c>
      <c r="CJ144" s="56">
        <f t="shared" si="157"/>
        <v>-1587.1384857979992</v>
      </c>
      <c r="CK144" s="56">
        <f>Datos1[[#This Row],[Resultado Fiscal (miles de millones de G.)]]*1000/$F$207</f>
        <v>-12.812834156544534</v>
      </c>
      <c r="CL144" s="56">
        <f t="shared" si="165"/>
        <v>-228.26266840244918</v>
      </c>
      <c r="CM144" s="100">
        <f t="shared" ref="CM144:CM208" si="180">IFERROR(CH144/CH132-1,0)</f>
        <v>-0.38407215352618751</v>
      </c>
      <c r="CN144" s="100">
        <f t="shared" ref="CN144:CN208" si="181">IFERROR(CI144/CI132-1,0)</f>
        <v>-1.305186003756357</v>
      </c>
      <c r="CO144" s="100">
        <f t="shared" si="121"/>
        <v>-0.45367919666879586</v>
      </c>
      <c r="CP144" s="4">
        <f t="shared" si="150"/>
        <v>-4.9570675742485401E-2</v>
      </c>
      <c r="CQ144" s="4">
        <f t="shared" si="158"/>
        <v>-0.88310943396646868</v>
      </c>
      <c r="CR144" s="73">
        <v>1049.2159195229999</v>
      </c>
      <c r="CS144" s="113">
        <f>SUM(Datos1[[#This Row],[FFPP]:[MTESS]])</f>
        <v>0</v>
      </c>
      <c r="CT144" s="113"/>
      <c r="CU144" s="113"/>
      <c r="CV144" s="113"/>
      <c r="CW144" s="113"/>
      <c r="CX144" s="113"/>
      <c r="CY144" s="113"/>
      <c r="CZ144" s="113"/>
    </row>
    <row r="145" spans="1:104">
      <c r="A145">
        <v>143</v>
      </c>
      <c r="B145" s="3">
        <v>41944</v>
      </c>
      <c r="C145" s="14" t="str">
        <f t="shared" si="132"/>
        <v>Noviembre</v>
      </c>
      <c r="D145" s="14">
        <f t="shared" si="151"/>
        <v>2014</v>
      </c>
      <c r="E145" s="15">
        <f t="shared" si="133"/>
        <v>179721.60920865697</v>
      </c>
      <c r="F145" s="15">
        <f t="shared" si="134"/>
        <v>4462.2360777646109</v>
      </c>
      <c r="G145" s="56">
        <v>2056.4375578609997</v>
      </c>
      <c r="H145" s="4">
        <f t="shared" si="152"/>
        <v>1.1442350015203089</v>
      </c>
      <c r="I145" s="4">
        <f>SUMIFS($G$3:$G145,$D$3:$D145,D145)</f>
        <v>21965.349037722001</v>
      </c>
      <c r="J145" s="2">
        <f t="shared" si="159"/>
        <v>24138.834485736996</v>
      </c>
      <c r="K145" s="95">
        <f t="shared" si="166"/>
        <v>0.13954080785413026</v>
      </c>
      <c r="L145" s="95">
        <f t="shared" si="167"/>
        <v>4.3282535341578887E-2</v>
      </c>
      <c r="M145" s="95">
        <f t="shared" si="116"/>
        <v>0.14230631036082175</v>
      </c>
      <c r="N145" s="4">
        <v>1596.1574623889996</v>
      </c>
      <c r="O145" s="4">
        <f t="shared" si="135"/>
        <v>0.88812773790371491</v>
      </c>
      <c r="P145" s="4">
        <f>SUMIFS($N$3:$N145,$D$3:$D145,D145)</f>
        <v>16041.462532575</v>
      </c>
      <c r="Q145" s="4">
        <f t="shared" si="155"/>
        <v>17255.915543271003</v>
      </c>
      <c r="R145" s="97">
        <f t="shared" si="168"/>
        <v>3.6164415850900467E-2</v>
      </c>
      <c r="S145" s="97">
        <f t="shared" si="169"/>
        <v>0.18168066794866289</v>
      </c>
      <c r="T145" s="97">
        <f t="shared" si="117"/>
        <v>0.18187886169721135</v>
      </c>
      <c r="U145" s="4">
        <v>990.60499517000005</v>
      </c>
      <c r="V145" s="4">
        <f t="shared" si="160"/>
        <v>9564.2388517799172</v>
      </c>
      <c r="W145" s="97">
        <f t="shared" si="122"/>
        <v>0.23477421034695922</v>
      </c>
      <c r="X145" s="97">
        <f t="shared" si="170"/>
        <v>4.7272946461430543E-2</v>
      </c>
      <c r="Y145" s="4">
        <v>647.98978494599999</v>
      </c>
      <c r="Z145" s="4">
        <f t="shared" si="161"/>
        <v>7660.7383992670002</v>
      </c>
      <c r="AA145" s="97">
        <f t="shared" si="123"/>
        <v>0.11952876376212762</v>
      </c>
      <c r="AB145" s="97">
        <f t="shared" si="171"/>
        <v>8.4159375107562662E-2</v>
      </c>
      <c r="AC145" s="4">
        <v>74.765132592</v>
      </c>
      <c r="AD145" s="4">
        <f t="shared" si="136"/>
        <v>4.1600524790092221E-2</v>
      </c>
      <c r="AE145" s="4">
        <v>162.61870811899999</v>
      </c>
      <c r="AF145" s="4">
        <f t="shared" si="137"/>
        <v>9.0483670180250553E-2</v>
      </c>
      <c r="AG145" s="4">
        <v>222.89625476099999</v>
      </c>
      <c r="AH145" s="4">
        <f t="shared" si="138"/>
        <v>49.951694817693614</v>
      </c>
      <c r="AI145" s="4">
        <v>132.08309167499999</v>
      </c>
      <c r="AJ145" s="4">
        <f t="shared" si="139"/>
        <v>18.996224479694252</v>
      </c>
      <c r="AK145" s="101">
        <f>SUMIFS($AJ$3:$AJ145,$D$3:$D145,D145)</f>
        <v>330.8471442233394</v>
      </c>
      <c r="AL145" s="4">
        <v>0</v>
      </c>
      <c r="AM145" s="4">
        <f t="shared" si="140"/>
        <v>0</v>
      </c>
      <c r="AN145" s="101">
        <f>SUMIFS($AM$3:$AM145,$D$3:$D145,D145)</f>
        <v>23.630819147462262</v>
      </c>
      <c r="AO145" s="4">
        <f t="shared" si="153"/>
        <v>90.813163086000003</v>
      </c>
      <c r="AP145" s="56">
        <v>1956.0839186229998</v>
      </c>
      <c r="AQ145" s="4">
        <f t="shared" si="141"/>
        <v>1.0883966192134327</v>
      </c>
      <c r="AR145" s="4">
        <f>SUMIFS($AP$3:$AP145,$D$3:$D145,D145)</f>
        <v>19648.597095033001</v>
      </c>
      <c r="AS145" s="4">
        <f t="shared" si="162"/>
        <v>22816.868693226999</v>
      </c>
      <c r="AT145" s="97">
        <f t="shared" si="172"/>
        <v>0.20363492295210484</v>
      </c>
      <c r="AU145" s="97">
        <f t="shared" si="173"/>
        <v>0.12489586111957474</v>
      </c>
      <c r="AV145" s="98">
        <f t="shared" si="131"/>
        <v>0.12332159270875609</v>
      </c>
      <c r="AW145" s="4">
        <v>954.0179912279998</v>
      </c>
      <c r="AX145" s="4">
        <f>SUMIFS($AW$3:$AW145,$D$3:$D145,D145)</f>
        <v>10226.097875442998</v>
      </c>
      <c r="AY145" s="4">
        <f t="shared" si="163"/>
        <v>12010.946481189001</v>
      </c>
      <c r="AZ145" s="97">
        <f t="shared" si="174"/>
        <v>7.0616788590052604E-2</v>
      </c>
      <c r="BA145" s="97">
        <f t="shared" si="175"/>
        <v>5.9164828132101999E-2</v>
      </c>
      <c r="BB145" s="97">
        <f t="shared" si="124"/>
        <v>6.7245231529524885E-2</v>
      </c>
      <c r="BC145" s="4">
        <v>607.45497021599999</v>
      </c>
      <c r="BD145" s="4">
        <f t="shared" si="154"/>
        <v>346.56302101199981</v>
      </c>
      <c r="BE145" s="4">
        <v>214.35710007699998</v>
      </c>
      <c r="BF145" s="4">
        <v>16.076906475999998</v>
      </c>
      <c r="BG145" s="4">
        <f t="shared" si="142"/>
        <v>2.3121848563978671</v>
      </c>
      <c r="BH145" s="4">
        <f>Datos1[[#This Row],[Intereses]]/Datos1[[#This Row],[PIB nominal (miles de millones de G.)]]*100</f>
        <v>8.9454498803951243E-3</v>
      </c>
      <c r="BI145" s="4">
        <v>432.36607283900003</v>
      </c>
      <c r="BJ145" s="4">
        <v>271.91454233999997</v>
      </c>
      <c r="BK145" s="4">
        <v>67.351305663000005</v>
      </c>
      <c r="BL145" s="56">
        <f t="shared" si="143"/>
        <v>100.35363923799991</v>
      </c>
      <c r="BM145" s="56">
        <f>SUMIFS($BL$3:$BL145,$D$3:$D145,D145)</f>
        <v>2316.7519426889994</v>
      </c>
      <c r="BN145" s="56">
        <f t="shared" si="156"/>
        <v>1321.9657925100003</v>
      </c>
      <c r="BO145" s="100">
        <f t="shared" si="176"/>
        <v>-0.70993978041182226</v>
      </c>
      <c r="BP145" s="100">
        <f t="shared" si="177"/>
        <v>0.28098002600031724</v>
      </c>
      <c r="BQ145" s="100">
        <f t="shared" si="119"/>
        <v>0.61274275756548224</v>
      </c>
      <c r="BR145" s="2">
        <f t="shared" si="144"/>
        <v>5.5838382306876211E-2</v>
      </c>
      <c r="BS145" s="2">
        <f>+Datos1[[#This Row],[RON acumulado 12 meses]]/Datos1[[#This Row],[PIB nominal (miles de millones de G.)]]*100</f>
        <v>0.73556307353958572</v>
      </c>
      <c r="BT145" s="56">
        <v>368.66737337100011</v>
      </c>
      <c r="BU145" s="56">
        <f>SUMIFS($BT$3:$BT145,$D$3:$D145,D145)</f>
        <v>2462.9717058809997</v>
      </c>
      <c r="BV145" s="56">
        <f t="shared" si="164"/>
        <v>3163.245053308</v>
      </c>
      <c r="BW145" s="100">
        <f t="shared" si="178"/>
        <v>2.3654780616481297E-2</v>
      </c>
      <c r="BX145" s="100">
        <f t="shared" si="179"/>
        <v>0.10804179308935202</v>
      </c>
      <c r="BY145" s="100">
        <f t="shared" si="120"/>
        <v>8.9383021506278082E-2</v>
      </c>
      <c r="BZ145" s="56">
        <f t="shared" si="145"/>
        <v>53.021837194172214</v>
      </c>
      <c r="CA145" s="56">
        <f>Datos1[[#This Row],[Adquisición Neta de Activos no Financieros]]/Datos1[[#This Row],[PIB nominal (miles de millones de G.)]]*100</f>
        <v>0.20513246848517636</v>
      </c>
      <c r="CB145" s="56">
        <f>+Datos1[[#This Row],[ANANF acumulado por año]]/Datos1[[#This Row],[PIB nominal (miles de millones de G.)]]*100</f>
        <v>1.3704371537322966</v>
      </c>
      <c r="CC145" s="56">
        <f>+Datos1[[#This Row],[ANANF acumulado 12 meses]]/Datos1[[#This Row],[PIB nominal (miles de millones de G.)]]*100</f>
        <v>1.7600805307921927</v>
      </c>
      <c r="CD145" s="4">
        <v>215.700804482</v>
      </c>
      <c r="CE145" s="4">
        <f t="shared" si="146"/>
        <v>31.022145608712052</v>
      </c>
      <c r="CF145" s="4">
        <f t="shared" si="147"/>
        <v>152.96656888900011</v>
      </c>
      <c r="CG145" s="4">
        <f t="shared" si="148"/>
        <v>21.999691585460166</v>
      </c>
      <c r="CH145" s="56">
        <f t="shared" si="149"/>
        <v>-268.3137341330002</v>
      </c>
      <c r="CI145" s="56">
        <f>SUMIFS($CH$3:$CH145,$D$3:$D145,D145)</f>
        <v>-146.21976319200087</v>
      </c>
      <c r="CJ145" s="56">
        <f t="shared" si="157"/>
        <v>-1841.279260798</v>
      </c>
      <c r="CK145" s="56">
        <f>Datos1[[#This Row],[Resultado Fiscal (miles de millones de G.)]]*1000/$F$207</f>
        <v>-38.58895078801519</v>
      </c>
      <c r="CL145" s="56">
        <f t="shared" si="165"/>
        <v>-264.81326053442638</v>
      </c>
      <c r="CM145" s="100">
        <f t="shared" si="180"/>
        <v>17.931384167211203</v>
      </c>
      <c r="CN145" s="100">
        <f t="shared" si="181"/>
        <v>-0.64701430774058544</v>
      </c>
      <c r="CO145" s="100">
        <f t="shared" si="121"/>
        <v>-0.11646992997884809</v>
      </c>
      <c r="CP145" s="4">
        <f t="shared" si="150"/>
        <v>-0.14929408617830017</v>
      </c>
      <c r="CQ145" s="4">
        <f t="shared" si="158"/>
        <v>-1.0245174572526072</v>
      </c>
      <c r="CR145" s="73">
        <v>1048.411827616</v>
      </c>
      <c r="CS145" s="113">
        <f>SUM(Datos1[[#This Row],[FFPP]:[MTESS]])</f>
        <v>0</v>
      </c>
      <c r="CT145" s="113"/>
      <c r="CU145" s="113"/>
      <c r="CV145" s="113"/>
      <c r="CW145" s="113"/>
      <c r="CX145" s="113"/>
      <c r="CY145" s="113"/>
      <c r="CZ145" s="113"/>
    </row>
    <row r="146" spans="1:104">
      <c r="A146">
        <v>144</v>
      </c>
      <c r="B146" s="3">
        <v>41974</v>
      </c>
      <c r="C146" s="14" t="str">
        <f t="shared" si="132"/>
        <v>Diciembre</v>
      </c>
      <c r="D146" s="14">
        <f t="shared" si="151"/>
        <v>2014</v>
      </c>
      <c r="E146" s="15">
        <f t="shared" si="133"/>
        <v>179721.60920865697</v>
      </c>
      <c r="F146" s="15">
        <f t="shared" si="134"/>
        <v>4462.2360777646109</v>
      </c>
      <c r="G146" s="56">
        <v>2729.4965304900002</v>
      </c>
      <c r="H146" s="4">
        <f t="shared" si="152"/>
        <v>1.5187358618189601</v>
      </c>
      <c r="I146" s="4">
        <f>SUMIFS($G$3:$G146,$D$3:$D146,D146)</f>
        <v>24694.845568212</v>
      </c>
      <c r="J146" s="2">
        <f t="shared" si="159"/>
        <v>24694.845568212</v>
      </c>
      <c r="K146" s="95">
        <f t="shared" si="166"/>
        <v>0.15132317498015491</v>
      </c>
      <c r="L146" s="95">
        <f t="shared" si="167"/>
        <v>0.25581541527356144</v>
      </c>
      <c r="M146" s="95">
        <f t="shared" si="116"/>
        <v>0.15132317498015491</v>
      </c>
      <c r="N146" s="4">
        <v>1443.5331820379999</v>
      </c>
      <c r="O146" s="4">
        <f t="shared" si="135"/>
        <v>0.80320512841728264</v>
      </c>
      <c r="P146" s="4">
        <f>SUMIFS($N$3:$N146,$D$3:$D146,D146)</f>
        <v>17484.995714613</v>
      </c>
      <c r="Q146" s="4">
        <f t="shared" si="155"/>
        <v>17484.995714613</v>
      </c>
      <c r="R146" s="97">
        <f t="shared" si="168"/>
        <v>0.18862827077246447</v>
      </c>
      <c r="S146" s="97">
        <f t="shared" si="169"/>
        <v>0.18225117356272613</v>
      </c>
      <c r="T146" s="97">
        <f t="shared" si="117"/>
        <v>0.18225117356272613</v>
      </c>
      <c r="U146" s="4">
        <v>630.88129351300006</v>
      </c>
      <c r="V146" s="4">
        <f t="shared" si="160"/>
        <v>9688.2477673435005</v>
      </c>
      <c r="W146" s="97">
        <f t="shared" si="122"/>
        <v>0.24064998358792056</v>
      </c>
      <c r="X146" s="97">
        <f t="shared" si="170"/>
        <v>0.24465510641015586</v>
      </c>
      <c r="Y146" s="4">
        <v>711.34323793899989</v>
      </c>
      <c r="Z146" s="4">
        <f t="shared" si="161"/>
        <v>7721.671839351</v>
      </c>
      <c r="AA146" s="97">
        <f t="shared" si="123"/>
        <v>0.11266385052416017</v>
      </c>
      <c r="AB146" s="97">
        <f t="shared" si="171"/>
        <v>9.3684689690950895E-2</v>
      </c>
      <c r="AC146" s="4">
        <v>708.80109081000001</v>
      </c>
      <c r="AD146" s="4">
        <f t="shared" si="136"/>
        <v>0.39438835092283264</v>
      </c>
      <c r="AE146" s="4">
        <v>209.568336926</v>
      </c>
      <c r="AF146" s="4">
        <f t="shared" si="137"/>
        <v>0.11660720035212402</v>
      </c>
      <c r="AG146" s="4">
        <v>367.59392071600001</v>
      </c>
      <c r="AH146" s="4">
        <f t="shared" si="138"/>
        <v>82.378859905625802</v>
      </c>
      <c r="AI146" s="4">
        <v>236.895451452</v>
      </c>
      <c r="AJ146" s="4">
        <f t="shared" si="139"/>
        <v>34.070365229438849</v>
      </c>
      <c r="AK146" s="101">
        <f>SUMIFS($AJ$3:$AJ146,$D$3:$D146,D146)</f>
        <v>364.91750945277823</v>
      </c>
      <c r="AL146" s="4">
        <v>0</v>
      </c>
      <c r="AM146" s="4">
        <f t="shared" si="140"/>
        <v>0</v>
      </c>
      <c r="AN146" s="101">
        <f>SUMIFS($AM$3:$AM146,$D$3:$D146,D146)</f>
        <v>23.630819147462262</v>
      </c>
      <c r="AO146" s="4">
        <f t="shared" si="153"/>
        <v>130.69846926400001</v>
      </c>
      <c r="AP146" s="56">
        <v>3284.0142716850005</v>
      </c>
      <c r="AQ146" s="4">
        <f t="shared" si="141"/>
        <v>1.8272784703770688</v>
      </c>
      <c r="AR146" s="4">
        <f>SUMIFS($AP$3:$AP146,$D$3:$D146,D146)</f>
        <v>22932.611366718003</v>
      </c>
      <c r="AS146" s="4">
        <f t="shared" si="162"/>
        <v>22932.611366718003</v>
      </c>
      <c r="AT146" s="97">
        <f t="shared" si="172"/>
        <v>3.653180287857194E-2</v>
      </c>
      <c r="AU146" s="97">
        <f t="shared" si="173"/>
        <v>0.1113287588340075</v>
      </c>
      <c r="AV146" s="98">
        <f t="shared" si="131"/>
        <v>0.1113287588340075</v>
      </c>
      <c r="AW146" s="4">
        <v>1905.0669354610006</v>
      </c>
      <c r="AX146" s="4">
        <f>SUMIFS($AW$3:$AW146,$D$3:$D146,D146)</f>
        <v>12131.164810903998</v>
      </c>
      <c r="AY146" s="4">
        <f t="shared" si="163"/>
        <v>12131.164810903998</v>
      </c>
      <c r="AZ146" s="97">
        <f t="shared" si="174"/>
        <v>6.7354917009756266E-2</v>
      </c>
      <c r="BA146" s="97">
        <f t="shared" si="175"/>
        <v>6.0442662862306484E-2</v>
      </c>
      <c r="BB146" s="97">
        <f t="shared" si="124"/>
        <v>6.0442662862306484E-2</v>
      </c>
      <c r="BC146" s="4">
        <v>608.32651111099995</v>
      </c>
      <c r="BD146" s="4">
        <f t="shared" si="154"/>
        <v>1296.7404243500007</v>
      </c>
      <c r="BE146" s="4">
        <v>232.85659586899999</v>
      </c>
      <c r="BF146" s="4">
        <v>57.824224169999994</v>
      </c>
      <c r="BG146" s="4">
        <f t="shared" si="142"/>
        <v>8.316294907756081</v>
      </c>
      <c r="BH146" s="4">
        <f>Datos1[[#This Row],[Intereses]]/Datos1[[#This Row],[PIB nominal (miles de millones de G.)]]*100</f>
        <v>3.2174330301519845E-2</v>
      </c>
      <c r="BI146" s="4">
        <v>473.51986421400005</v>
      </c>
      <c r="BJ146" s="4">
        <v>455.65687067700003</v>
      </c>
      <c r="BK146" s="4">
        <v>159.08978129400001</v>
      </c>
      <c r="BL146" s="56">
        <f t="shared" si="143"/>
        <v>-554.51774119500033</v>
      </c>
      <c r="BM146" s="56">
        <f>SUMIFS($BL$3:$BL146,$D$3:$D146,D146)</f>
        <v>1762.2342014939991</v>
      </c>
      <c r="BN146" s="56">
        <f t="shared" si="156"/>
        <v>1762.2342014939991</v>
      </c>
      <c r="BO146" s="100">
        <f t="shared" si="176"/>
        <v>-0.44257593343531976</v>
      </c>
      <c r="BP146" s="100">
        <f t="shared" si="177"/>
        <v>1.1654613459896277</v>
      </c>
      <c r="BQ146" s="100">
        <f t="shared" si="119"/>
        <v>1.1654613459896277</v>
      </c>
      <c r="BR146" s="2">
        <f t="shared" si="144"/>
        <v>-0.30854260855810872</v>
      </c>
      <c r="BS146" s="2">
        <f>+Datos1[[#This Row],[RON acumulado 12 meses]]/Datos1[[#This Row],[PIB nominal (miles de millones de G.)]]*100</f>
        <v>0.98053551225887547</v>
      </c>
      <c r="BT146" s="56">
        <v>830.67995415299993</v>
      </c>
      <c r="BU146" s="56">
        <f>SUMIFS($BT$3:$BT146,$D$3:$D146,D146)</f>
        <v>3293.6516600339996</v>
      </c>
      <c r="BV146" s="56">
        <f t="shared" si="164"/>
        <v>3293.6516600339996</v>
      </c>
      <c r="BW146" s="100">
        <f t="shared" si="178"/>
        <v>0.18622243329001509</v>
      </c>
      <c r="BX146" s="100">
        <f t="shared" si="179"/>
        <v>0.1267712380122723</v>
      </c>
      <c r="BY146" s="100">
        <f t="shared" si="120"/>
        <v>0.1267712380122723</v>
      </c>
      <c r="BZ146" s="56">
        <f t="shared" si="145"/>
        <v>119.46860631260672</v>
      </c>
      <c r="CA146" s="56">
        <f>Datos1[[#This Row],[Adquisición Neta de Activos no Financieros]]/Datos1[[#This Row],[PIB nominal (miles de millones de G.)]]*100</f>
        <v>0.46220371485132855</v>
      </c>
      <c r="CB146" s="56">
        <f>+Datos1[[#This Row],[ANANF acumulado por año]]/Datos1[[#This Row],[PIB nominal (miles de millones de G.)]]*100</f>
        <v>1.8326408685836251</v>
      </c>
      <c r="CC146" s="56">
        <f>+Datos1[[#This Row],[ANANF acumulado 12 meses]]/Datos1[[#This Row],[PIB nominal (miles de millones de G.)]]*100</f>
        <v>1.8326408685836251</v>
      </c>
      <c r="CD146" s="4">
        <v>472.14796739199994</v>
      </c>
      <c r="CE146" s="4">
        <f t="shared" si="146"/>
        <v>67.904443047704675</v>
      </c>
      <c r="CF146" s="4">
        <f t="shared" si="147"/>
        <v>358.53198676099998</v>
      </c>
      <c r="CG146" s="4">
        <f t="shared" si="148"/>
        <v>51.564163264902049</v>
      </c>
      <c r="CH146" s="56">
        <f t="shared" si="149"/>
        <v>-1385.1976953480003</v>
      </c>
      <c r="CI146" s="56">
        <f>SUMIFS($CH$3:$CH146,$D$3:$D146,D146)</f>
        <v>-1531.417458540001</v>
      </c>
      <c r="CJ146" s="56">
        <f t="shared" si="157"/>
        <v>-1531.417458540001</v>
      </c>
      <c r="CK146" s="56">
        <f>Datos1[[#This Row],[Resultado Fiscal (miles de millones de G.)]]*1000/$F$207</f>
        <v>-199.21949157831708</v>
      </c>
      <c r="CL146" s="56">
        <f t="shared" si="165"/>
        <v>-220.24885581971085</v>
      </c>
      <c r="CM146" s="100">
        <f t="shared" si="180"/>
        <v>-0.18280290614909322</v>
      </c>
      <c r="CN146" s="100">
        <f t="shared" si="181"/>
        <v>-0.27396769460546455</v>
      </c>
      <c r="CO146" s="100">
        <f t="shared" si="121"/>
        <v>-0.27396769460546455</v>
      </c>
      <c r="CP146" s="4">
        <f t="shared" si="150"/>
        <v>-0.77074632340943727</v>
      </c>
      <c r="CQ146" s="4">
        <f t="shared" si="158"/>
        <v>-0.85210535632474993</v>
      </c>
      <c r="CR146" s="73">
        <v>2051.5854502490001</v>
      </c>
      <c r="CS146" s="113">
        <f>SUM(Datos1[[#This Row],[FFPP]:[MTESS]])</f>
        <v>0</v>
      </c>
      <c r="CT146" s="113"/>
      <c r="CU146" s="113"/>
      <c r="CV146" s="113"/>
      <c r="CW146" s="113"/>
      <c r="CX146" s="113"/>
      <c r="CY146" s="113"/>
      <c r="CZ146" s="113"/>
    </row>
    <row r="147" spans="1:104">
      <c r="A147">
        <v>145</v>
      </c>
      <c r="B147" s="76">
        <v>42005</v>
      </c>
      <c r="C147" s="14" t="str">
        <f t="shared" si="132"/>
        <v>Enero</v>
      </c>
      <c r="D147" s="14">
        <f t="shared" si="151"/>
        <v>2015</v>
      </c>
      <c r="E147" s="15">
        <f t="shared" si="133"/>
        <v>188230.72332346055</v>
      </c>
      <c r="F147" s="15">
        <f t="shared" si="134"/>
        <v>5204.9208081108709</v>
      </c>
      <c r="G147" s="56">
        <v>1832.895121606</v>
      </c>
      <c r="H147" s="4">
        <f t="shared" si="152"/>
        <v>0.97374917826581664</v>
      </c>
      <c r="I147" s="4">
        <f>SUMIFS($G$3:$G147,$D$3:$D147,D147)</f>
        <v>1832.895121606</v>
      </c>
      <c r="J147" s="2">
        <f t="shared" si="159"/>
        <v>24846.755675306998</v>
      </c>
      <c r="K147" s="95">
        <f t="shared" si="166"/>
        <v>9.0369697399825366E-2</v>
      </c>
      <c r="L147" s="95">
        <f t="shared" si="167"/>
        <v>9.0369697399825366E-2</v>
      </c>
      <c r="M147" s="95">
        <f t="shared" si="116"/>
        <v>0.16295959828447248</v>
      </c>
      <c r="N147" s="4">
        <v>1412.7278108</v>
      </c>
      <c r="O147" s="4">
        <f t="shared" si="135"/>
        <v>0.75052987411217242</v>
      </c>
      <c r="P147" s="4">
        <f>SUMIFS($N$3:$N147,$D$3:$D147,D147)</f>
        <v>1412.7278108</v>
      </c>
      <c r="Q147" s="4">
        <f t="shared" si="155"/>
        <v>17592.574348230999</v>
      </c>
      <c r="R147" s="97">
        <f t="shared" si="168"/>
        <v>8.2426312255184042E-2</v>
      </c>
      <c r="S147" s="97">
        <f t="shared" si="169"/>
        <v>8.2426312255184042E-2</v>
      </c>
      <c r="T147" s="97">
        <f t="shared" si="117"/>
        <v>0.1769034084558696</v>
      </c>
      <c r="U147" s="4">
        <v>786.85349604800001</v>
      </c>
      <c r="V147" s="4">
        <f t="shared" si="160"/>
        <v>9759.0674916614989</v>
      </c>
      <c r="W147" s="97">
        <f t="shared" si="122"/>
        <v>0.22450960477959914</v>
      </c>
      <c r="X147" s="97">
        <f t="shared" si="170"/>
        <v>9.8905564393832357E-2</v>
      </c>
      <c r="Y147" s="4">
        <v>600.61783711600003</v>
      </c>
      <c r="Z147" s="4">
        <f t="shared" si="161"/>
        <v>7743.0253666500003</v>
      </c>
      <c r="AA147" s="97">
        <f t="shared" si="123"/>
        <v>0.11144678473772096</v>
      </c>
      <c r="AB147" s="97">
        <f t="shared" si="171"/>
        <v>3.6863184796843473E-2</v>
      </c>
      <c r="AC147" s="4">
        <v>23.149614742999997</v>
      </c>
      <c r="AD147" s="4">
        <f t="shared" si="136"/>
        <v>1.2298531469392008E-2</v>
      </c>
      <c r="AE147" s="4">
        <v>72.860751746999995</v>
      </c>
      <c r="AF147" s="4">
        <f t="shared" si="137"/>
        <v>3.8708214291773291E-2</v>
      </c>
      <c r="AG147" s="4">
        <v>324.15694431599997</v>
      </c>
      <c r="AH147" s="4">
        <f t="shared" si="138"/>
        <v>62.278938770953737</v>
      </c>
      <c r="AI147" s="4">
        <v>217.409102308</v>
      </c>
      <c r="AJ147" s="4">
        <f t="shared" si="139"/>
        <v>31.267833444825989</v>
      </c>
      <c r="AK147" s="101">
        <f>SUMIFS($AJ$3:$AJ147,$D$3:$D147,D147)</f>
        <v>31.267833444825989</v>
      </c>
      <c r="AL147" s="4">
        <v>0</v>
      </c>
      <c r="AM147" s="4">
        <f t="shared" si="140"/>
        <v>0</v>
      </c>
      <c r="AN147" s="101">
        <f>SUMIFS($AM$3:$AM147,$D$3:$D147,D147)</f>
        <v>0</v>
      </c>
      <c r="AO147" s="4">
        <f t="shared" si="153"/>
        <v>106.74784200799996</v>
      </c>
      <c r="AP147" s="56">
        <v>1545.886143102</v>
      </c>
      <c r="AQ147" s="4">
        <f t="shared" si="141"/>
        <v>0.82127195593118407</v>
      </c>
      <c r="AR147" s="4">
        <f>SUMIFS($AP$3:$AP147,$D$3:$D147,D147)</f>
        <v>1545.886143102</v>
      </c>
      <c r="AS147" s="4">
        <f t="shared" si="162"/>
        <v>23127.450518033005</v>
      </c>
      <c r="AT147" s="97">
        <f t="shared" si="172"/>
        <v>0.14421345260337004</v>
      </c>
      <c r="AU147" s="97">
        <f t="shared" si="173"/>
        <v>0.14421345260337004</v>
      </c>
      <c r="AV147" s="98">
        <f t="shared" si="131"/>
        <v>0.13794050561833848</v>
      </c>
      <c r="AW147" s="4">
        <v>949.6053593490002</v>
      </c>
      <c r="AX147" s="4">
        <f>SUMIFS($AW$3:$AW147,$D$3:$D147,D147)</f>
        <v>949.6053593490002</v>
      </c>
      <c r="AY147" s="4">
        <f t="shared" si="163"/>
        <v>12223.452339134999</v>
      </c>
      <c r="AZ147" s="97">
        <f t="shared" si="174"/>
        <v>0.10764680831454432</v>
      </c>
      <c r="BA147" s="97">
        <f t="shared" si="175"/>
        <v>0.10764680831454432</v>
      </c>
      <c r="BB147" s="97">
        <f t="shared" si="124"/>
        <v>6.3664054887738519E-2</v>
      </c>
      <c r="BC147" s="4">
        <v>662.40034298399996</v>
      </c>
      <c r="BD147" s="4">
        <f t="shared" si="154"/>
        <v>287.20501636500023</v>
      </c>
      <c r="BE147" s="4">
        <v>97.975579720000013</v>
      </c>
      <c r="BF147" s="4">
        <v>58.307220506</v>
      </c>
      <c r="BG147" s="4">
        <f t="shared" si="142"/>
        <v>8.385759565988808</v>
      </c>
      <c r="BH147" s="4">
        <f>Datos1[[#This Row],[Intereses]]/Datos1[[#This Row],[PIB nominal (miles de millones de G.)]]*100</f>
        <v>3.0976463074948377E-2</v>
      </c>
      <c r="BI147" s="4">
        <v>163.70640595499998</v>
      </c>
      <c r="BJ147" s="4">
        <v>253.799432422</v>
      </c>
      <c r="BK147" s="4">
        <v>22.492145149999999</v>
      </c>
      <c r="BL147" s="56">
        <f t="shared" si="143"/>
        <v>287.00897850399997</v>
      </c>
      <c r="BM147" s="56">
        <f>SUMIFS($BL$3:$BL147,$D$3:$D147,D147)</f>
        <v>287.00897850399997</v>
      </c>
      <c r="BN147" s="56">
        <f t="shared" si="156"/>
        <v>1719.3051572739987</v>
      </c>
      <c r="BO147" s="100">
        <f t="shared" si="176"/>
        <v>-0.1301124491975002</v>
      </c>
      <c r="BP147" s="100">
        <f t="shared" si="177"/>
        <v>-0.1301124491975002</v>
      </c>
      <c r="BQ147" s="100">
        <f t="shared" si="119"/>
        <v>0.65134809040184627</v>
      </c>
      <c r="BR147" s="2">
        <f t="shared" si="144"/>
        <v>0.15247722233463254</v>
      </c>
      <c r="BS147" s="2">
        <f>+Datos1[[#This Row],[RON acumulado 12 meses]]/Datos1[[#This Row],[PIB nominal (miles de millones de G.)]]*100</f>
        <v>0.91340304436885156</v>
      </c>
      <c r="BT147" s="56">
        <v>69.263806791999997</v>
      </c>
      <c r="BU147" s="56">
        <f>SUMIFS($BT$3:$BT147,$D$3:$D147,D147)</f>
        <v>69.263806791999997</v>
      </c>
      <c r="BV147" s="56">
        <f t="shared" si="164"/>
        <v>3309.9697978990002</v>
      </c>
      <c r="BW147" s="100">
        <f t="shared" si="178"/>
        <v>0.30820533946787965</v>
      </c>
      <c r="BX147" s="100">
        <f t="shared" si="179"/>
        <v>0.30820533946787965</v>
      </c>
      <c r="BY147" s="100">
        <f t="shared" si="120"/>
        <v>0.22723865564830348</v>
      </c>
      <c r="BZ147" s="56">
        <f t="shared" si="145"/>
        <v>9.9615386455103856</v>
      </c>
      <c r="CA147" s="56">
        <f>Datos1[[#This Row],[Adquisición Neta de Activos no Financieros]]/Datos1[[#This Row],[PIB nominal (miles de millones de G.)]]*100</f>
        <v>3.679729088272974E-2</v>
      </c>
      <c r="CB147" s="56">
        <f>+Datos1[[#This Row],[ANANF acumulado por año]]/Datos1[[#This Row],[PIB nominal (miles de millones de G.)]]*100</f>
        <v>3.679729088272974E-2</v>
      </c>
      <c r="CC147" s="56">
        <f>+Datos1[[#This Row],[ANANF acumulado 12 meses]]/Datos1[[#This Row],[PIB nominal (miles de millones de G.)]]*100</f>
        <v>1.7584641547655651</v>
      </c>
      <c r="CD147" s="4">
        <v>45.851716745999994</v>
      </c>
      <c r="CE147" s="4">
        <f t="shared" si="146"/>
        <v>6.5944057868478261</v>
      </c>
      <c r="CF147" s="4">
        <f t="shared" si="147"/>
        <v>23.412090046000003</v>
      </c>
      <c r="CG147" s="4">
        <f t="shared" si="148"/>
        <v>3.3671328586625577</v>
      </c>
      <c r="CH147" s="56">
        <f t="shared" si="149"/>
        <v>217.74517171199997</v>
      </c>
      <c r="CI147" s="56">
        <f>SUMIFS($CH$3:$CH147,$D$3:$D147,D147)</f>
        <v>217.74517171199997</v>
      </c>
      <c r="CJ147" s="56">
        <f t="shared" si="157"/>
        <v>-1590.6646406250013</v>
      </c>
      <c r="CK147" s="56">
        <f>Datos1[[#This Row],[Resultado Fiscal (miles de millones de G.)]]*1000/$F$207</f>
        <v>31.316167033616058</v>
      </c>
      <c r="CL147" s="56">
        <f t="shared" si="165"/>
        <v>-228.76980090362281</v>
      </c>
      <c r="CM147" s="100">
        <f t="shared" si="180"/>
        <v>-0.21389464825596138</v>
      </c>
      <c r="CN147" s="100">
        <f t="shared" si="181"/>
        <v>-0.21389464825596138</v>
      </c>
      <c r="CO147" s="100">
        <f t="shared" si="121"/>
        <v>-3.9415914457590628E-2</v>
      </c>
      <c r="CP147" s="4">
        <f t="shared" si="150"/>
        <v>0.11567993145190281</v>
      </c>
      <c r="CQ147" s="4">
        <f t="shared" si="158"/>
        <v>-0.8450611103967135</v>
      </c>
      <c r="CR147" s="73">
        <v>1068.1294928520001</v>
      </c>
      <c r="CS147" s="113">
        <f>SUM(Datos1[[#This Row],[FFPP]:[MTESS]])</f>
        <v>0</v>
      </c>
      <c r="CT147" s="113"/>
      <c r="CU147" s="113"/>
      <c r="CV147" s="113"/>
      <c r="CW147" s="113"/>
      <c r="CX147" s="113"/>
      <c r="CY147" s="113"/>
      <c r="CZ147" s="113"/>
    </row>
    <row r="148" spans="1:104">
      <c r="A148">
        <v>146</v>
      </c>
      <c r="B148" s="3">
        <v>42036</v>
      </c>
      <c r="C148" s="14" t="str">
        <f t="shared" si="132"/>
        <v>Febrero</v>
      </c>
      <c r="D148" s="14">
        <f t="shared" si="151"/>
        <v>2015</v>
      </c>
      <c r="E148" s="15">
        <f t="shared" si="133"/>
        <v>188230.72332346055</v>
      </c>
      <c r="F148" s="15">
        <f t="shared" si="134"/>
        <v>5204.9208081108709</v>
      </c>
      <c r="G148" s="56">
        <v>1930.551442508</v>
      </c>
      <c r="H148" s="4">
        <f t="shared" si="152"/>
        <v>1.0256303585416766</v>
      </c>
      <c r="I148" s="4">
        <f>SUMIFS($G$3:$G148,$D$3:$D148,D148)</f>
        <v>3763.446564114</v>
      </c>
      <c r="J148" s="2">
        <f t="shared" si="159"/>
        <v>24979.715783173997</v>
      </c>
      <c r="K148" s="95">
        <f t="shared" si="166"/>
        <v>8.189275909710747E-2</v>
      </c>
      <c r="L148" s="95">
        <f t="shared" si="167"/>
        <v>7.3965703608353195E-2</v>
      </c>
      <c r="M148" s="95">
        <f t="shared" si="116"/>
        <v>0.15118124073661643</v>
      </c>
      <c r="N148" s="4">
        <v>1123.0507655489998</v>
      </c>
      <c r="O148" s="4">
        <f t="shared" si="135"/>
        <v>0.59663520689931171</v>
      </c>
      <c r="P148" s="4">
        <f>SUMIFS($N$3:$N148,$D$3:$D148,D148)</f>
        <v>2535.7785763490001</v>
      </c>
      <c r="Q148" s="4">
        <f t="shared" si="155"/>
        <v>17669.925975349997</v>
      </c>
      <c r="R148" s="97">
        <f t="shared" si="168"/>
        <v>7.3971206703999703E-2</v>
      </c>
      <c r="S148" s="97">
        <f t="shared" si="169"/>
        <v>7.8665330939847067E-2</v>
      </c>
      <c r="T148" s="97">
        <f t="shared" si="117"/>
        <v>0.16975787614940785</v>
      </c>
      <c r="U148" s="4">
        <v>583.88252461000013</v>
      </c>
      <c r="V148" s="4">
        <f t="shared" si="160"/>
        <v>9856.4066585629989</v>
      </c>
      <c r="W148" s="97">
        <f t="shared" si="122"/>
        <v>0.22749487602345742</v>
      </c>
      <c r="X148" s="97">
        <f t="shared" si="170"/>
        <v>0.2000626775791241</v>
      </c>
      <c r="Y148" s="4">
        <v>589.26770469000007</v>
      </c>
      <c r="Z148" s="4">
        <f t="shared" si="161"/>
        <v>7746.3766880280009</v>
      </c>
      <c r="AA148" s="97">
        <f t="shared" si="123"/>
        <v>9.7550642816956135E-2</v>
      </c>
      <c r="AB148" s="97">
        <f t="shared" si="171"/>
        <v>5.7197946216420714E-3</v>
      </c>
      <c r="AC148" s="4">
        <v>349.80611917599998</v>
      </c>
      <c r="AD148" s="4">
        <f t="shared" si="136"/>
        <v>0.18583901341912398</v>
      </c>
      <c r="AE148" s="4">
        <v>50.240349010999999</v>
      </c>
      <c r="AF148" s="4">
        <f t="shared" si="137"/>
        <v>2.6690833528098219E-2</v>
      </c>
      <c r="AG148" s="4">
        <v>407.45420877200002</v>
      </c>
      <c r="AH148" s="4">
        <f t="shared" si="138"/>
        <v>78.282499156771181</v>
      </c>
      <c r="AI148" s="4">
        <v>288.35147585499999</v>
      </c>
      <c r="AJ148" s="4">
        <f t="shared" si="139"/>
        <v>41.470783996113006</v>
      </c>
      <c r="AK148" s="101">
        <f>SUMIFS($AJ$3:$AJ148,$D$3:$D148,D148)</f>
        <v>72.738617440938995</v>
      </c>
      <c r="AL148" s="4">
        <v>0</v>
      </c>
      <c r="AM148" s="4">
        <f t="shared" si="140"/>
        <v>0</v>
      </c>
      <c r="AN148" s="101">
        <f>SUMIFS($AM$3:$AM148,$D$3:$D148,D148)</f>
        <v>0</v>
      </c>
      <c r="AO148" s="4">
        <f t="shared" si="153"/>
        <v>119.10273291700003</v>
      </c>
      <c r="AP148" s="56">
        <v>2031.2142501810001</v>
      </c>
      <c r="AQ148" s="4">
        <f t="shared" si="141"/>
        <v>1.0791087736992377</v>
      </c>
      <c r="AR148" s="4">
        <f>SUMIFS($AP$3:$AP148,$D$3:$D148,D148)</f>
        <v>3577.1003932829999</v>
      </c>
      <c r="AS148" s="4">
        <f t="shared" si="162"/>
        <v>23427.995550120006</v>
      </c>
      <c r="AT148" s="97">
        <f t="shared" si="172"/>
        <v>0.17365827562241676</v>
      </c>
      <c r="AU148" s="97">
        <f t="shared" si="173"/>
        <v>0.16074944922366163</v>
      </c>
      <c r="AV148" s="98">
        <f t="shared" si="131"/>
        <v>0.15215622089887204</v>
      </c>
      <c r="AW148" s="4">
        <v>998.131579612</v>
      </c>
      <c r="AX148" s="4">
        <f>SUMIFS($AW$3:$AW148,$D$3:$D148,D148)</f>
        <v>1947.7369389610003</v>
      </c>
      <c r="AY148" s="4">
        <f t="shared" si="163"/>
        <v>12332.084504972001</v>
      </c>
      <c r="AZ148" s="97">
        <f t="shared" si="174"/>
        <v>0.12212730458805998</v>
      </c>
      <c r="BA148" s="97">
        <f t="shared" si="175"/>
        <v>0.11502044341238893</v>
      </c>
      <c r="BB148" s="97">
        <f t="shared" si="124"/>
        <v>7.1972280882423245E-2</v>
      </c>
      <c r="BC148" s="4">
        <v>678.39995802999999</v>
      </c>
      <c r="BD148" s="4">
        <f t="shared" si="154"/>
        <v>319.731621582</v>
      </c>
      <c r="BE148" s="4">
        <v>198.12867802700001</v>
      </c>
      <c r="BF148" s="4">
        <v>196.113979312</v>
      </c>
      <c r="BG148" s="4">
        <f t="shared" si="142"/>
        <v>28.205163335997199</v>
      </c>
      <c r="BH148" s="4">
        <f>Datos1[[#This Row],[Intereses]]/Datos1[[#This Row],[PIB nominal (miles de millones de G.)]]*100</f>
        <v>0.1041880814403463</v>
      </c>
      <c r="BI148" s="4">
        <v>310.42193658100001</v>
      </c>
      <c r="BJ148" s="4">
        <v>307.48679157999999</v>
      </c>
      <c r="BK148" s="4">
        <v>20.931285069000001</v>
      </c>
      <c r="BL148" s="56">
        <f t="shared" si="143"/>
        <v>-100.66280767300009</v>
      </c>
      <c r="BM148" s="56">
        <f>SUMIFS($BL$3:$BL148,$D$3:$D148,D148)</f>
        <v>186.34617083099988</v>
      </c>
      <c r="BN148" s="56">
        <f t="shared" si="156"/>
        <v>1551.7202330539988</v>
      </c>
      <c r="BO148" s="100">
        <f t="shared" si="176"/>
        <v>-2.5041784818969961</v>
      </c>
      <c r="BP148" s="100">
        <f t="shared" si="177"/>
        <v>-0.53044875916915535</v>
      </c>
      <c r="BQ148" s="100">
        <f t="shared" si="119"/>
        <v>0.13665891140693409</v>
      </c>
      <c r="BR148" s="2">
        <f t="shared" si="144"/>
        <v>-5.3478415157560924E-2</v>
      </c>
      <c r="BS148" s="2">
        <f>+Datos1[[#This Row],[RON acumulado 12 meses]]/Datos1[[#This Row],[PIB nominal (miles de millones de G.)]]*100</f>
        <v>0.82437139147974403</v>
      </c>
      <c r="BT148" s="56">
        <v>263.99010063399999</v>
      </c>
      <c r="BU148" s="56">
        <f>SUMIFS($BT$3:$BT148,$D$3:$D148,D148)</f>
        <v>333.25390742599996</v>
      </c>
      <c r="BV148" s="56">
        <f t="shared" si="164"/>
        <v>3517.8647490000003</v>
      </c>
      <c r="BW148" s="100">
        <f t="shared" si="178"/>
        <v>3.7061127892831127</v>
      </c>
      <c r="BX148" s="100">
        <f t="shared" si="179"/>
        <v>2.056230796252223</v>
      </c>
      <c r="BY148" s="100">
        <f t="shared" si="120"/>
        <v>0.34851049950485291</v>
      </c>
      <c r="BZ148" s="56">
        <f t="shared" si="145"/>
        <v>37.967124697533997</v>
      </c>
      <c r="CA148" s="56">
        <f>Datos1[[#This Row],[Adquisición Neta de Activos no Financieros]]/Datos1[[#This Row],[PIB nominal (miles de millones de G.)]]*100</f>
        <v>0.1402481465155678</v>
      </c>
      <c r="CB148" s="56">
        <f>+Datos1[[#This Row],[ANANF acumulado por año]]/Datos1[[#This Row],[PIB nominal (miles de millones de G.)]]*100</f>
        <v>0.17704543739829751</v>
      </c>
      <c r="CC148" s="56">
        <f>+Datos1[[#This Row],[ANANF acumulado 12 meses]]/Datos1[[#This Row],[PIB nominal (miles de millones de G.)]]*100</f>
        <v>1.8689110294469891</v>
      </c>
      <c r="CD148" s="4">
        <v>220.58772052800001</v>
      </c>
      <c r="CE148" s="4">
        <f t="shared" si="146"/>
        <v>31.724983141101571</v>
      </c>
      <c r="CF148" s="4">
        <f t="shared" si="147"/>
        <v>43.402380105999981</v>
      </c>
      <c r="CG148" s="4">
        <f t="shared" si="148"/>
        <v>6.2421415564324292</v>
      </c>
      <c r="CH148" s="56">
        <f t="shared" si="149"/>
        <v>-364.65290830700008</v>
      </c>
      <c r="CI148" s="56">
        <f>SUMIFS($CH$3:$CH148,$D$3:$D148,D148)</f>
        <v>-146.9077365950001</v>
      </c>
      <c r="CJ148" s="56">
        <f t="shared" si="157"/>
        <v>-1966.1445159460013</v>
      </c>
      <c r="CK148" s="56">
        <f>Datos1[[#This Row],[Resultado Fiscal (miles de millones de G.)]]*1000/$F$207</f>
        <v>-52.444475788147003</v>
      </c>
      <c r="CL148" s="56">
        <f t="shared" si="165"/>
        <v>-282.77141389399594</v>
      </c>
      <c r="CM148" s="100">
        <f t="shared" si="180"/>
        <v>-34.680060891982428</v>
      </c>
      <c r="CN148" s="100">
        <f t="shared" si="181"/>
        <v>-1.5104165216603676</v>
      </c>
      <c r="CO148" s="100">
        <f t="shared" si="121"/>
        <v>0.58108039835068159</v>
      </c>
      <c r="CP148" s="4">
        <f t="shared" si="150"/>
        <v>-0.19372656167312871</v>
      </c>
      <c r="CQ148" s="4">
        <f t="shared" si="158"/>
        <v>-1.0445396379672449</v>
      </c>
      <c r="CR148" s="73">
        <v>1147.2693375450001</v>
      </c>
      <c r="CS148" s="113">
        <f>SUM(Datos1[[#This Row],[FFPP]:[MTESS]])</f>
        <v>0</v>
      </c>
      <c r="CT148" s="113"/>
      <c r="CU148" s="113"/>
      <c r="CV148" s="113"/>
      <c r="CW148" s="113"/>
      <c r="CX148" s="113"/>
      <c r="CY148" s="113"/>
      <c r="CZ148" s="113"/>
    </row>
    <row r="149" spans="1:104">
      <c r="A149">
        <v>147</v>
      </c>
      <c r="B149" s="3">
        <v>42064</v>
      </c>
      <c r="C149" s="14" t="str">
        <f t="shared" si="132"/>
        <v>Marzo</v>
      </c>
      <c r="D149" s="14">
        <f t="shared" si="151"/>
        <v>2015</v>
      </c>
      <c r="E149" s="15">
        <f t="shared" si="133"/>
        <v>188230.72332346055</v>
      </c>
      <c r="F149" s="15">
        <f t="shared" si="134"/>
        <v>5204.9208081108709</v>
      </c>
      <c r="G149" s="56">
        <v>1888.5530510630001</v>
      </c>
      <c r="H149" s="4">
        <f t="shared" si="152"/>
        <v>1.0033181712943118</v>
      </c>
      <c r="I149" s="4">
        <f>SUMIFS($G$3:$G149,$D$3:$D149,D149)</f>
        <v>5651.9996151770001</v>
      </c>
      <c r="J149" s="2">
        <f t="shared" si="159"/>
        <v>25176.083636321</v>
      </c>
      <c r="K149" s="95">
        <f t="shared" si="166"/>
        <v>9.306908928760782E-2</v>
      </c>
      <c r="L149" s="95">
        <f t="shared" si="167"/>
        <v>0.11604394920179861</v>
      </c>
      <c r="M149" s="95">
        <f t="shared" si="116"/>
        <v>0.15517015423036407</v>
      </c>
      <c r="N149" s="4">
        <v>1410.80461655</v>
      </c>
      <c r="O149" s="4">
        <f t="shared" si="135"/>
        <v>0.7495081523570607</v>
      </c>
      <c r="P149" s="4">
        <f>SUMIFS($N$3:$N149,$D$3:$D149,D149)</f>
        <v>3946.5831928990001</v>
      </c>
      <c r="Q149" s="4">
        <f t="shared" si="155"/>
        <v>17834.603470709</v>
      </c>
      <c r="R149" s="97">
        <f t="shared" si="168"/>
        <v>0.1321514415010947</v>
      </c>
      <c r="S149" s="97">
        <f t="shared" si="169"/>
        <v>9.7194924524347748E-2</v>
      </c>
      <c r="T149" s="97">
        <f t="shared" si="117"/>
        <v>0.15685808071204188</v>
      </c>
      <c r="U149" s="4">
        <v>722.14980272000003</v>
      </c>
      <c r="V149" s="4">
        <f t="shared" si="160"/>
        <v>9927.9224612829985</v>
      </c>
      <c r="W149" s="97">
        <f t="shared" si="122"/>
        <v>0.20751734096573315</v>
      </c>
      <c r="X149" s="97">
        <f t="shared" si="170"/>
        <v>0.10991710042819758</v>
      </c>
      <c r="Y149" s="4">
        <v>634.06159326599993</v>
      </c>
      <c r="Z149" s="4">
        <f t="shared" si="161"/>
        <v>7791.3949321910004</v>
      </c>
      <c r="AA149" s="97">
        <f t="shared" si="123"/>
        <v>8.9553296612939981E-2</v>
      </c>
      <c r="AB149" s="97">
        <f t="shared" si="171"/>
        <v>7.6426029139543106E-2</v>
      </c>
      <c r="AC149" s="4">
        <v>116.87966767499999</v>
      </c>
      <c r="AD149" s="4">
        <f t="shared" si="136"/>
        <v>6.2093831236121284E-2</v>
      </c>
      <c r="AE149" s="4">
        <v>92.676015736000011</v>
      </c>
      <c r="AF149" s="4">
        <f t="shared" si="137"/>
        <v>4.923532890894923E-2</v>
      </c>
      <c r="AG149" s="4">
        <v>268.19275110200005</v>
      </c>
      <c r="AH149" s="4">
        <f t="shared" si="138"/>
        <v>51.526768800031135</v>
      </c>
      <c r="AI149" s="4">
        <v>156.36985620299998</v>
      </c>
      <c r="AJ149" s="4">
        <f t="shared" si="139"/>
        <v>22.489153249067439</v>
      </c>
      <c r="AK149" s="101">
        <f>SUMIFS($AJ$3:$AJ149,$D$3:$D149,D149)</f>
        <v>95.227770690006437</v>
      </c>
      <c r="AL149" s="4">
        <v>0</v>
      </c>
      <c r="AM149" s="4">
        <f t="shared" si="140"/>
        <v>0</v>
      </c>
      <c r="AN149" s="101">
        <f>SUMIFS($AM$3:$AM149,$D$3:$D149,D149)</f>
        <v>0</v>
      </c>
      <c r="AO149" s="4">
        <f t="shared" si="153"/>
        <v>111.82289489900006</v>
      </c>
      <c r="AP149" s="56">
        <v>1964.8233786620003</v>
      </c>
      <c r="AQ149" s="4">
        <f t="shared" si="141"/>
        <v>1.0438377667420407</v>
      </c>
      <c r="AR149" s="4">
        <f>SUMIFS($AP$3:$AP149,$D$3:$D149,D149)</f>
        <v>5541.9237719450002</v>
      </c>
      <c r="AS149" s="4">
        <f t="shared" si="162"/>
        <v>23646.526710125007</v>
      </c>
      <c r="AT149" s="97">
        <f t="shared" si="172"/>
        <v>0.12514008690542266</v>
      </c>
      <c r="AU149" s="97">
        <f t="shared" si="173"/>
        <v>0.14786953129308955</v>
      </c>
      <c r="AV149" s="98">
        <f t="shared" si="131"/>
        <v>0.15447995856568464</v>
      </c>
      <c r="AW149" s="4">
        <v>1019.0883814860002</v>
      </c>
      <c r="AX149" s="4">
        <f>SUMIFS($AW$3:$AW149,$D$3:$D149,D149)</f>
        <v>2966.8253204470006</v>
      </c>
      <c r="AY149" s="4">
        <f t="shared" si="163"/>
        <v>12424.804763566002</v>
      </c>
      <c r="AZ149" s="97">
        <f t="shared" si="174"/>
        <v>0.10009007898991551</v>
      </c>
      <c r="BA149" s="97">
        <f t="shared" si="175"/>
        <v>0.10984646115480978</v>
      </c>
      <c r="BB149" s="97">
        <f t="shared" si="124"/>
        <v>7.6010409643485932E-2</v>
      </c>
      <c r="BC149" s="4">
        <v>673.98758477800004</v>
      </c>
      <c r="BD149" s="4">
        <f t="shared" si="154"/>
        <v>345.10079670800019</v>
      </c>
      <c r="BE149" s="4">
        <v>191.93758803900002</v>
      </c>
      <c r="BF149" s="4">
        <v>66.228400985000007</v>
      </c>
      <c r="BG149" s="4">
        <f t="shared" si="142"/>
        <v>9.5249857955920998</v>
      </c>
      <c r="BH149" s="4">
        <f>Datos1[[#This Row],[Intereses]]/Datos1[[#This Row],[PIB nominal (miles de millones de G.)]]*100</f>
        <v>3.5184692390089478E-2</v>
      </c>
      <c r="BI149" s="4">
        <v>370.78635034999996</v>
      </c>
      <c r="BJ149" s="4">
        <v>276.69621993500004</v>
      </c>
      <c r="BK149" s="4">
        <v>40.086437867000001</v>
      </c>
      <c r="BL149" s="56">
        <f t="shared" si="143"/>
        <v>-76.270327599000211</v>
      </c>
      <c r="BM149" s="56">
        <f>SUMIFS($BL$3:$BL149,$D$3:$D149,D149)</f>
        <v>110.07584323199967</v>
      </c>
      <c r="BN149" s="56">
        <f t="shared" si="156"/>
        <v>1529.5569261959986</v>
      </c>
      <c r="BO149" s="100">
        <f t="shared" si="176"/>
        <v>0.40961979710713847</v>
      </c>
      <c r="BP149" s="100">
        <f t="shared" si="177"/>
        <v>-0.67884801835182973</v>
      </c>
      <c r="BQ149" s="100">
        <f t="shared" si="119"/>
        <v>0.16594636596858714</v>
      </c>
      <c r="BR149" s="2">
        <f t="shared" si="144"/>
        <v>-4.0519595447728957E-2</v>
      </c>
      <c r="BS149" s="2">
        <f>+Datos1[[#This Row],[RON acumulado 12 meses]]/Datos1[[#This Row],[PIB nominal (miles de millones de G.)]]*100</f>
        <v>0.81259684879793415</v>
      </c>
      <c r="BT149" s="56">
        <v>232.00552916699996</v>
      </c>
      <c r="BU149" s="56">
        <f>SUMIFS($BT$3:$BT149,$D$3:$D149,D149)</f>
        <v>565.25943659299992</v>
      </c>
      <c r="BV149" s="56">
        <f t="shared" si="164"/>
        <v>3535.9402033920005</v>
      </c>
      <c r="BW149" s="100">
        <f t="shared" si="178"/>
        <v>8.4492348310590382E-2</v>
      </c>
      <c r="BX149" s="100">
        <f t="shared" si="179"/>
        <v>0.750186931494492</v>
      </c>
      <c r="BY149" s="100">
        <f t="shared" si="120"/>
        <v>0.3583735322046615</v>
      </c>
      <c r="BZ149" s="56">
        <f t="shared" si="145"/>
        <v>33.367095338977151</v>
      </c>
      <c r="CA149" s="56">
        <f>Datos1[[#This Row],[Adquisición Neta de Activos no Financieros]]/Datos1[[#This Row],[PIB nominal (miles de millones de G.)]]*100</f>
        <v>0.1232559303128829</v>
      </c>
      <c r="CB149" s="56">
        <f>+Datos1[[#This Row],[ANANF acumulado por año]]/Datos1[[#This Row],[PIB nominal (miles de millones de G.)]]*100</f>
        <v>0.30030136771118043</v>
      </c>
      <c r="CC149" s="56">
        <f>+Datos1[[#This Row],[ANANF acumulado 12 meses]]/Datos1[[#This Row],[PIB nominal (miles de millones de G.)]]*100</f>
        <v>1.8785138477716783</v>
      </c>
      <c r="CD149" s="4">
        <v>168.91107145999999</v>
      </c>
      <c r="CE149" s="4">
        <f t="shared" si="146"/>
        <v>24.292834077922766</v>
      </c>
      <c r="CF149" s="4">
        <f t="shared" si="147"/>
        <v>63.094457706999975</v>
      </c>
      <c r="CG149" s="4">
        <f t="shared" si="148"/>
        <v>9.074261261054378</v>
      </c>
      <c r="CH149" s="56">
        <f t="shared" si="149"/>
        <v>-308.27585676600017</v>
      </c>
      <c r="CI149" s="56">
        <f>SUMIFS($CH$3:$CH149,$D$3:$D149,D149)</f>
        <v>-455.18359336100025</v>
      </c>
      <c r="CJ149" s="56">
        <f t="shared" si="157"/>
        <v>-2006.3832771960015</v>
      </c>
      <c r="CK149" s="56">
        <f>Datos1[[#This Row],[Resultado Fiscal (miles de millones de G.)]]*1000/$F$207</f>
        <v>-44.336313622990545</v>
      </c>
      <c r="CL149" s="56">
        <f t="shared" si="165"/>
        <v>-288.558562966571</v>
      </c>
      <c r="CM149" s="100">
        <f t="shared" si="180"/>
        <v>0.15012385197107214</v>
      </c>
      <c r="CN149" s="100">
        <f t="shared" si="181"/>
        <v>-24.009726487952314</v>
      </c>
      <c r="CO149" s="100">
        <f t="shared" si="121"/>
        <v>0.55387789083093808</v>
      </c>
      <c r="CP149" s="4">
        <f t="shared" si="150"/>
        <v>-0.16377552576061186</v>
      </c>
      <c r="CQ149" s="4">
        <f t="shared" si="158"/>
        <v>-1.0659169989737438</v>
      </c>
      <c r="CR149" s="73">
        <v>1129.2472331849999</v>
      </c>
      <c r="CS149" s="113">
        <f>SUM(Datos1[[#This Row],[FFPP]:[MTESS]])</f>
        <v>0</v>
      </c>
      <c r="CT149" s="113"/>
      <c r="CU149" s="113"/>
      <c r="CV149" s="113"/>
      <c r="CW149" s="113"/>
      <c r="CX149" s="113"/>
      <c r="CY149" s="113"/>
      <c r="CZ149" s="113"/>
    </row>
    <row r="150" spans="1:104">
      <c r="A150">
        <v>148</v>
      </c>
      <c r="B150" s="3">
        <v>42095</v>
      </c>
      <c r="C150" s="14" t="str">
        <f t="shared" si="132"/>
        <v>Abril</v>
      </c>
      <c r="D150" s="14">
        <f t="shared" si="151"/>
        <v>2015</v>
      </c>
      <c r="E150" s="15">
        <f t="shared" si="133"/>
        <v>188230.72332346055</v>
      </c>
      <c r="F150" s="15">
        <f t="shared" si="134"/>
        <v>5204.9208081108709</v>
      </c>
      <c r="G150" s="56">
        <v>2233.7868660610002</v>
      </c>
      <c r="H150" s="4">
        <f t="shared" si="152"/>
        <v>1.1867280891347385</v>
      </c>
      <c r="I150" s="4">
        <f>SUMIFS($G$3:$G150,$D$3:$D150,D150)</f>
        <v>7885.7864812380003</v>
      </c>
      <c r="J150" s="2">
        <f t="shared" si="159"/>
        <v>25438.904936230003</v>
      </c>
      <c r="K150" s="95">
        <f t="shared" si="166"/>
        <v>0.10418479398921288</v>
      </c>
      <c r="L150" s="95">
        <f t="shared" si="167"/>
        <v>0.13334646957943419</v>
      </c>
      <c r="M150" s="95">
        <f t="shared" si="116"/>
        <v>0.16895606144026343</v>
      </c>
      <c r="N150" s="4">
        <v>1778.6221536210003</v>
      </c>
      <c r="O150" s="4">
        <f t="shared" si="135"/>
        <v>0.94491596388575194</v>
      </c>
      <c r="P150" s="4">
        <f>SUMIFS($N$3:$N150,$D$3:$D150,D150)</f>
        <v>5725.2053465200006</v>
      </c>
      <c r="Q150" s="4">
        <f t="shared" si="155"/>
        <v>18045.922327668999</v>
      </c>
      <c r="R150" s="97">
        <f t="shared" si="168"/>
        <v>0.13482958748966856</v>
      </c>
      <c r="S150" s="97">
        <f t="shared" si="169"/>
        <v>0.10861664174345464</v>
      </c>
      <c r="T150" s="97">
        <f t="shared" si="117"/>
        <v>0.1600477677482095</v>
      </c>
      <c r="U150" s="4">
        <v>1178.4512138273001</v>
      </c>
      <c r="V150" s="4">
        <f t="shared" si="160"/>
        <v>10135.6844716083</v>
      </c>
      <c r="W150" s="97">
        <f t="shared" si="122"/>
        <v>0.20911512345917949</v>
      </c>
      <c r="X150" s="97">
        <f t="shared" si="170"/>
        <v>0.21403556316043026</v>
      </c>
      <c r="Y150" s="4">
        <v>626.25016044300014</v>
      </c>
      <c r="Z150" s="4">
        <f t="shared" si="161"/>
        <v>7813.6282525940005</v>
      </c>
      <c r="AA150" s="97">
        <f t="shared" si="123"/>
        <v>9.2636363697283119E-2</v>
      </c>
      <c r="AB150" s="97">
        <f t="shared" si="171"/>
        <v>3.6809106847961015E-2</v>
      </c>
      <c r="AC150" s="4">
        <v>94.702143438999997</v>
      </c>
      <c r="AD150" s="4">
        <f t="shared" si="136"/>
        <v>5.0311735388840519E-2</v>
      </c>
      <c r="AE150" s="4">
        <v>72.096541117000001</v>
      </c>
      <c r="AF150" s="4">
        <f t="shared" si="137"/>
        <v>3.8302217536032857E-2</v>
      </c>
      <c r="AG150" s="4">
        <v>288.366027884</v>
      </c>
      <c r="AH150" s="4">
        <f t="shared" si="138"/>
        <v>55.402577390733178</v>
      </c>
      <c r="AI150" s="4">
        <v>137.55850835199999</v>
      </c>
      <c r="AJ150" s="4">
        <f t="shared" si="139"/>
        <v>19.78370032536936</v>
      </c>
      <c r="AK150" s="101">
        <f>SUMIFS($AJ$3:$AJ150,$D$3:$D150,D150)</f>
        <v>115.0114710153758</v>
      </c>
      <c r="AL150" s="4">
        <v>0</v>
      </c>
      <c r="AM150" s="4">
        <f t="shared" si="140"/>
        <v>0</v>
      </c>
      <c r="AN150" s="101">
        <f>SUMIFS($AM$3:$AM150,$D$3:$D150,D150)</f>
        <v>0</v>
      </c>
      <c r="AO150" s="4">
        <f t="shared" si="153"/>
        <v>150.80751953200001</v>
      </c>
      <c r="AP150" s="56">
        <v>1937.4762485199997</v>
      </c>
      <c r="AQ150" s="4">
        <f t="shared" si="141"/>
        <v>1.0293092510676858</v>
      </c>
      <c r="AR150" s="4">
        <f>SUMIFS($AP$3:$AP150,$D$3:$D150,D150)</f>
        <v>7479.4000204650001</v>
      </c>
      <c r="AS150" s="4">
        <f t="shared" si="162"/>
        <v>23909.488741186007</v>
      </c>
      <c r="AT150" s="97">
        <f t="shared" si="172"/>
        <v>0.15703780136309198</v>
      </c>
      <c r="AU150" s="97">
        <f t="shared" si="173"/>
        <v>0.15023052246797985</v>
      </c>
      <c r="AV150" s="98">
        <f t="shared" si="131"/>
        <v>0.16491039743367431</v>
      </c>
      <c r="AW150" s="4">
        <v>1016.2826899909996</v>
      </c>
      <c r="AX150" s="4">
        <f>SUMIFS($AW$3:$AW150,$D$3:$D150,D150)</f>
        <v>3983.1080104380003</v>
      </c>
      <c r="AY150" s="4">
        <f t="shared" si="163"/>
        <v>12507.353634583002</v>
      </c>
      <c r="AZ150" s="97">
        <f t="shared" si="174"/>
        <v>8.8407284109839335E-2</v>
      </c>
      <c r="BA150" s="97">
        <f t="shared" si="175"/>
        <v>0.10429643809597655</v>
      </c>
      <c r="BB150" s="97">
        <f t="shared" si="124"/>
        <v>7.9550751461012092E-2</v>
      </c>
      <c r="BC150" s="4">
        <v>676.24459749300001</v>
      </c>
      <c r="BD150" s="4">
        <f t="shared" si="154"/>
        <v>340.03809249799963</v>
      </c>
      <c r="BE150" s="4">
        <v>194.34458785799998</v>
      </c>
      <c r="BF150" s="4">
        <v>15.743442071</v>
      </c>
      <c r="BG150" s="4">
        <f t="shared" si="142"/>
        <v>2.2642259192391712</v>
      </c>
      <c r="BH150" s="4">
        <f>Datos1[[#This Row],[Intereses]]/Datos1[[#This Row],[PIB nominal (miles de millones de G.)]]*100</f>
        <v>8.3639066954792826E-3</v>
      </c>
      <c r="BI150" s="4">
        <v>312.17633040999999</v>
      </c>
      <c r="BJ150" s="4">
        <v>328.03464518700002</v>
      </c>
      <c r="BK150" s="4">
        <v>70.894553003000013</v>
      </c>
      <c r="BL150" s="56">
        <f t="shared" si="143"/>
        <v>296.31061754100051</v>
      </c>
      <c r="BM150" s="56">
        <f>SUMIFS($BL$3:$BL150,$D$3:$D150,D150)</f>
        <v>406.38646077300018</v>
      </c>
      <c r="BN150" s="56">
        <f t="shared" si="156"/>
        <v>1529.4161950439989</v>
      </c>
      <c r="BO150" s="100">
        <f t="shared" si="176"/>
        <v>-4.7471921656006E-4</v>
      </c>
      <c r="BP150" s="100">
        <f t="shared" si="177"/>
        <v>-0.36423088133515258</v>
      </c>
      <c r="BQ150" s="100">
        <f t="shared" si="119"/>
        <v>0.23606546315907906</v>
      </c>
      <c r="BR150" s="2">
        <f t="shared" si="144"/>
        <v>0.15741883806705276</v>
      </c>
      <c r="BS150" s="2">
        <f>+Datos1[[#This Row],[RON acumulado 12 meses]]/Datos1[[#This Row],[PIB nominal (miles de millones de G.)]]*100</f>
        <v>0.81252208355795907</v>
      </c>
      <c r="BT150" s="56">
        <v>268.16568078800003</v>
      </c>
      <c r="BU150" s="56">
        <f>SUMIFS($BT$3:$BT150,$D$3:$D150,D150)</f>
        <v>833.42511738099995</v>
      </c>
      <c r="BV150" s="56">
        <f t="shared" si="164"/>
        <v>3610.0004456240003</v>
      </c>
      <c r="BW150" s="100">
        <f t="shared" si="178"/>
        <v>0.38154645631236872</v>
      </c>
      <c r="BX150" s="100">
        <f t="shared" si="179"/>
        <v>0.61180287346408013</v>
      </c>
      <c r="BY150" s="100">
        <f t="shared" si="120"/>
        <v>0.37110374918495026</v>
      </c>
      <c r="BZ150" s="56">
        <f t="shared" si="145"/>
        <v>38.567657717562895</v>
      </c>
      <c r="CA150" s="56">
        <f>Datos1[[#This Row],[Adquisición Neta de Activos no Financieros]]/Datos1[[#This Row],[PIB nominal (miles de millones de G.)]]*100</f>
        <v>0.14246647733865273</v>
      </c>
      <c r="CB150" s="56">
        <f>+Datos1[[#This Row],[ANANF acumulado por año]]/Datos1[[#This Row],[PIB nominal (miles de millones de G.)]]*100</f>
        <v>0.44276784504983313</v>
      </c>
      <c r="CC150" s="56">
        <f>+Datos1[[#This Row],[ANANF acumulado 12 meses]]/Datos1[[#This Row],[PIB nominal (miles de millones de G.)]]*100</f>
        <v>1.917859306857405</v>
      </c>
      <c r="CD150" s="4">
        <v>173.638341887</v>
      </c>
      <c r="CE150" s="4">
        <f t="shared" si="146"/>
        <v>24.972711336008704</v>
      </c>
      <c r="CF150" s="4">
        <f t="shared" si="147"/>
        <v>94.527338901000036</v>
      </c>
      <c r="CG150" s="4">
        <f t="shared" si="148"/>
        <v>13.594946381554191</v>
      </c>
      <c r="CH150" s="56">
        <f t="shared" si="149"/>
        <v>28.144936753000479</v>
      </c>
      <c r="CI150" s="56">
        <f>SUMIFS($CH$3:$CH150,$D$3:$D150,D150)</f>
        <v>-427.03865660799977</v>
      </c>
      <c r="CJ150" s="56">
        <f t="shared" si="157"/>
        <v>-2080.5842505800015</v>
      </c>
      <c r="CK150" s="56">
        <f>Datos1[[#This Row],[Resultado Fiscal (miles de millones de G.)]]*1000/$F$207</f>
        <v>4.047812098783492</v>
      </c>
      <c r="CL150" s="56">
        <f t="shared" si="165"/>
        <v>-299.23016619102117</v>
      </c>
      <c r="CM150" s="100">
        <f t="shared" si="180"/>
        <v>-0.72500184213198482</v>
      </c>
      <c r="CN150" s="100">
        <f t="shared" si="181"/>
        <v>-4.4966443653417691</v>
      </c>
      <c r="CO150" s="100">
        <f t="shared" si="121"/>
        <v>0.49082837041899752</v>
      </c>
      <c r="CP150" s="4">
        <f t="shared" si="150"/>
        <v>1.4952360728400055E-2</v>
      </c>
      <c r="CQ150" s="4">
        <f t="shared" si="158"/>
        <v>-1.1053372232994458</v>
      </c>
      <c r="CR150" s="73">
        <v>1121.704313422</v>
      </c>
      <c r="CS150" s="113">
        <f>SUM(Datos1[[#This Row],[FFPP]:[MTESS]])</f>
        <v>0</v>
      </c>
      <c r="CT150" s="113"/>
      <c r="CU150" s="113"/>
      <c r="CV150" s="113"/>
      <c r="CW150" s="113"/>
      <c r="CX150" s="113"/>
      <c r="CY150" s="113"/>
      <c r="CZ150" s="113"/>
    </row>
    <row r="151" spans="1:104">
      <c r="A151">
        <v>149</v>
      </c>
      <c r="B151" s="3">
        <v>42125</v>
      </c>
      <c r="C151" s="14" t="str">
        <f t="shared" si="132"/>
        <v>Mayo</v>
      </c>
      <c r="D151" s="14">
        <f t="shared" si="151"/>
        <v>2015</v>
      </c>
      <c r="E151" s="15">
        <f t="shared" si="133"/>
        <v>188230.72332346055</v>
      </c>
      <c r="F151" s="15">
        <f t="shared" si="134"/>
        <v>5204.9208081108709</v>
      </c>
      <c r="G151" s="56">
        <v>2646.1948248070003</v>
      </c>
      <c r="H151" s="4">
        <f t="shared" si="152"/>
        <v>1.405825137408472</v>
      </c>
      <c r="I151" s="4">
        <f>SUMIFS($G$3:$G151,$D$3:$D151,D151)</f>
        <v>10531.981306045</v>
      </c>
      <c r="J151" s="2">
        <f t="shared" si="159"/>
        <v>25400.463945049003</v>
      </c>
      <c r="K151" s="95">
        <f t="shared" si="166"/>
        <v>7.1808702967769644E-2</v>
      </c>
      <c r="L151" s="95">
        <f t="shared" si="167"/>
        <v>-1.4318884875210824E-2</v>
      </c>
      <c r="M151" s="95">
        <f t="shared" si="116"/>
        <v>0.13107896876285219</v>
      </c>
      <c r="N151" s="4">
        <v>1733.7850264000001</v>
      </c>
      <c r="O151" s="4">
        <f t="shared" si="135"/>
        <v>0.92109566163681955</v>
      </c>
      <c r="P151" s="4">
        <f>SUMIFS($N$3:$N151,$D$3:$D151,D151)</f>
        <v>7458.9903729200005</v>
      </c>
      <c r="Q151" s="4">
        <f t="shared" si="155"/>
        <v>17995.808032244997</v>
      </c>
      <c r="R151" s="97">
        <f t="shared" si="168"/>
        <v>-2.8092558145467073E-2</v>
      </c>
      <c r="S151" s="97">
        <f t="shared" si="169"/>
        <v>7.351744782119396E-2</v>
      </c>
      <c r="T151" s="97">
        <f t="shared" si="117"/>
        <v>0.13687251564332503</v>
      </c>
      <c r="U151" s="4">
        <v>1129.5525759960001</v>
      </c>
      <c r="V151" s="4">
        <f t="shared" si="160"/>
        <v>10108.234950033302</v>
      </c>
      <c r="W151" s="97">
        <f t="shared" si="122"/>
        <v>0.1767698317108235</v>
      </c>
      <c r="X151" s="97">
        <f t="shared" si="170"/>
        <v>-2.3724694737050966E-2</v>
      </c>
      <c r="Y151" s="4">
        <v>584.86333945000001</v>
      </c>
      <c r="Z151" s="4">
        <f t="shared" si="161"/>
        <v>7771.5284753290007</v>
      </c>
      <c r="AA151" s="97">
        <f t="shared" si="123"/>
        <v>7.6450984923695842E-2</v>
      </c>
      <c r="AB151" s="97">
        <f t="shared" si="171"/>
        <v>-6.7148730352087571E-2</v>
      </c>
      <c r="AC151" s="4">
        <v>70.703664073000013</v>
      </c>
      <c r="AD151" s="4">
        <f t="shared" si="136"/>
        <v>3.7562233637864213E-2</v>
      </c>
      <c r="AE151" s="4">
        <v>121.379653995</v>
      </c>
      <c r="AF151" s="4">
        <f t="shared" si="137"/>
        <v>6.4484507019833354E-2</v>
      </c>
      <c r="AG151" s="4">
        <v>720.326480339</v>
      </c>
      <c r="AH151" s="4">
        <f t="shared" si="138"/>
        <v>138.39336022490664</v>
      </c>
      <c r="AI151" s="4">
        <v>499.10288574200001</v>
      </c>
      <c r="AJ151" s="4">
        <f t="shared" si="139"/>
        <v>71.781106391324371</v>
      </c>
      <c r="AK151" s="101">
        <f>SUMIFS($AJ$3:$AJ151,$D$3:$D151,D151)</f>
        <v>186.79257740670016</v>
      </c>
      <c r="AL151" s="4">
        <v>127.47884999999999</v>
      </c>
      <c r="AM151" s="4">
        <f t="shared" si="140"/>
        <v>18.334041248609132</v>
      </c>
      <c r="AN151" s="101">
        <f>SUMIFS($AM$3:$AM151,$D$3:$D151,D151)</f>
        <v>18.334041248609132</v>
      </c>
      <c r="AO151" s="4">
        <f t="shared" si="153"/>
        <v>93.744744596999993</v>
      </c>
      <c r="AP151" s="56">
        <v>2014.3969675559999</v>
      </c>
      <c r="AQ151" s="4">
        <f t="shared" si="141"/>
        <v>1.0701743753565713</v>
      </c>
      <c r="AR151" s="4">
        <f>SUMIFS($AP$3:$AP151,$D$3:$D151,D151)</f>
        <v>9493.7969880210003</v>
      </c>
      <c r="AS151" s="4">
        <f t="shared" si="162"/>
        <v>24208.697069555001</v>
      </c>
      <c r="AT151" s="97">
        <f t="shared" si="172"/>
        <v>0.17444630959707386</v>
      </c>
      <c r="AU151" s="97">
        <f t="shared" si="173"/>
        <v>0.15528480601864159</v>
      </c>
      <c r="AV151" s="98">
        <f t="shared" si="131"/>
        <v>0.17378502745630953</v>
      </c>
      <c r="AW151" s="4">
        <v>1013.1241966320001</v>
      </c>
      <c r="AX151" s="4">
        <f>SUMIFS($AW$3:$AW151,$D$3:$D151,D151)</f>
        <v>4996.2322070700002</v>
      </c>
      <c r="AY151" s="4">
        <f t="shared" si="163"/>
        <v>12574.035221887001</v>
      </c>
      <c r="AZ151" s="97">
        <f t="shared" si="174"/>
        <v>7.0454971750844475E-2</v>
      </c>
      <c r="BA151" s="97">
        <f t="shared" si="175"/>
        <v>9.7262293403433953E-2</v>
      </c>
      <c r="BB151" s="97">
        <f t="shared" si="124"/>
        <v>7.7903979557792935E-2</v>
      </c>
      <c r="BC151" s="4">
        <v>679.86524350800005</v>
      </c>
      <c r="BD151" s="4">
        <f t="shared" si="154"/>
        <v>333.25895312400007</v>
      </c>
      <c r="BE151" s="4">
        <v>188.91969810200001</v>
      </c>
      <c r="BF151" s="4">
        <v>32.079378284000001</v>
      </c>
      <c r="BG151" s="4">
        <f t="shared" si="142"/>
        <v>4.6136644995510405</v>
      </c>
      <c r="BH151" s="4">
        <f>Datos1[[#This Row],[Intereses]]/Datos1[[#This Row],[PIB nominal (miles de millones de G.)]]*100</f>
        <v>1.7042583547253319E-2</v>
      </c>
      <c r="BI151" s="4">
        <v>329.58721653999999</v>
      </c>
      <c r="BJ151" s="4">
        <v>296.54539699999998</v>
      </c>
      <c r="BK151" s="4">
        <v>154.14108099799998</v>
      </c>
      <c r="BL151" s="56">
        <f t="shared" si="143"/>
        <v>631.79785725100032</v>
      </c>
      <c r="BM151" s="56">
        <f>SUMIFS($BL$3:$BL151,$D$3:$D151,D151)</f>
        <v>1038.1843180240005</v>
      </c>
      <c r="BN151" s="56">
        <f t="shared" si="156"/>
        <v>1191.7668754939996</v>
      </c>
      <c r="BO151" s="100">
        <f t="shared" si="176"/>
        <v>-0.34829058006459002</v>
      </c>
      <c r="BP151" s="100">
        <f t="shared" si="177"/>
        <v>-0.35462452552685075</v>
      </c>
      <c r="BQ151" s="100">
        <f t="shared" si="119"/>
        <v>-0.34960410167500511</v>
      </c>
      <c r="BR151" s="2">
        <f t="shared" si="144"/>
        <v>0.33565076205190081</v>
      </c>
      <c r="BS151" s="2">
        <f>+Datos1[[#This Row],[RON acumulado 12 meses]]/Datos1[[#This Row],[PIB nominal (miles de millones de G.)]]*100</f>
        <v>0.63314152676661428</v>
      </c>
      <c r="BT151" s="56">
        <v>247.42930285400001</v>
      </c>
      <c r="BU151" s="56">
        <f>SUMIFS($BT$3:$BT151,$D$3:$D151,D151)</f>
        <v>1080.8544202349999</v>
      </c>
      <c r="BV151" s="56">
        <f t="shared" si="164"/>
        <v>3585.1166330960004</v>
      </c>
      <c r="BW151" s="100">
        <f t="shared" si="178"/>
        <v>-9.1379412604101318E-2</v>
      </c>
      <c r="BX151" s="100">
        <f t="shared" si="179"/>
        <v>0.36922836263622272</v>
      </c>
      <c r="BY151" s="100">
        <f t="shared" si="120"/>
        <v>0.3142829230979145</v>
      </c>
      <c r="BZ151" s="56">
        <f t="shared" si="145"/>
        <v>35.585346468373679</v>
      </c>
      <c r="CA151" s="56">
        <f>Datos1[[#This Row],[Adquisición Neta de Activos no Financieros]]/Datos1[[#This Row],[PIB nominal (miles de millones de G.)]]*100</f>
        <v>0.13145000905554141</v>
      </c>
      <c r="CB151" s="56">
        <f>+Datos1[[#This Row],[ANANF acumulado por año]]/Datos1[[#This Row],[PIB nominal (miles de millones de G.)]]*100</f>
        <v>0.57421785410537463</v>
      </c>
      <c r="CC151" s="56">
        <f>+Datos1[[#This Row],[ANANF acumulado 12 meses]]/Datos1[[#This Row],[PIB nominal (miles de millones de G.)]]*100</f>
        <v>1.9046394604430452</v>
      </c>
      <c r="CD151" s="4">
        <v>152.72492555100001</v>
      </c>
      <c r="CE151" s="4">
        <f t="shared" si="146"/>
        <v>21.964938377956763</v>
      </c>
      <c r="CF151" s="4">
        <f t="shared" si="147"/>
        <v>94.704377303000001</v>
      </c>
      <c r="CG151" s="4">
        <f t="shared" si="148"/>
        <v>13.620408090416918</v>
      </c>
      <c r="CH151" s="56">
        <f t="shared" si="149"/>
        <v>384.36855439700031</v>
      </c>
      <c r="CI151" s="56">
        <f>SUMIFS($CH$3:$CH151,$D$3:$D151,D151)</f>
        <v>-42.67010221099946</v>
      </c>
      <c r="CJ151" s="56">
        <f t="shared" si="157"/>
        <v>-2393.3497576020004</v>
      </c>
      <c r="CK151" s="56">
        <f>Datos1[[#This Row],[Resultado Fiscal (miles de millones de G.)]]*1000/$F$207</f>
        <v>55.279985118965755</v>
      </c>
      <c r="CL151" s="56">
        <f t="shared" si="165"/>
        <v>-344.21218247751483</v>
      </c>
      <c r="CM151" s="100">
        <f t="shared" si="180"/>
        <v>-0.44864470742596141</v>
      </c>
      <c r="CN151" s="100">
        <f t="shared" si="181"/>
        <v>-1.0520835727255702</v>
      </c>
      <c r="CO151" s="100">
        <f t="shared" si="121"/>
        <v>1.6728183725098003</v>
      </c>
      <c r="CP151" s="4">
        <f t="shared" si="150"/>
        <v>0.20420075299635937</v>
      </c>
      <c r="CQ151" s="4">
        <f t="shared" si="158"/>
        <v>-1.2714979336764309</v>
      </c>
      <c r="CR151" s="73">
        <v>1112.7519777990001</v>
      </c>
      <c r="CS151" s="113">
        <f>SUM(Datos1[[#This Row],[FFPP]:[MTESS]])</f>
        <v>0</v>
      </c>
      <c r="CT151" s="113"/>
      <c r="CU151" s="113"/>
      <c r="CV151" s="113"/>
      <c r="CW151" s="113"/>
      <c r="CX151" s="113"/>
      <c r="CY151" s="113"/>
      <c r="CZ151" s="113"/>
    </row>
    <row r="152" spans="1:104">
      <c r="A152">
        <v>150</v>
      </c>
      <c r="B152" s="3">
        <v>42156</v>
      </c>
      <c r="C152" s="14" t="str">
        <f t="shared" si="132"/>
        <v>Junio</v>
      </c>
      <c r="D152" s="14">
        <f t="shared" si="151"/>
        <v>2015</v>
      </c>
      <c r="E152" s="15">
        <f t="shared" si="133"/>
        <v>188230.72332346055</v>
      </c>
      <c r="F152" s="15">
        <f t="shared" si="134"/>
        <v>5204.9208081108709</v>
      </c>
      <c r="G152" s="56">
        <v>2176.1483012119998</v>
      </c>
      <c r="H152" s="4">
        <f t="shared" si="152"/>
        <v>1.1561068580034357</v>
      </c>
      <c r="I152" s="4">
        <f>SUMIFS($G$3:$G152,$D$3:$D152,D152)</f>
        <v>12708.129607257</v>
      </c>
      <c r="J152" s="2">
        <f t="shared" si="159"/>
        <v>25797.381137458</v>
      </c>
      <c r="K152" s="95">
        <f t="shared" si="166"/>
        <v>9.5000356348407644E-2</v>
      </c>
      <c r="L152" s="95">
        <f t="shared" si="167"/>
        <v>0.22308355021739179</v>
      </c>
      <c r="M152" s="95">
        <f t="shared" si="116"/>
        <v>0.13505220478776803</v>
      </c>
      <c r="N152" s="4">
        <v>1396.3960154700001</v>
      </c>
      <c r="O152" s="4">
        <f t="shared" si="135"/>
        <v>0.74185339715791077</v>
      </c>
      <c r="P152" s="4">
        <f>SUMIFS($N$3:$N152,$D$3:$D152,D152)</f>
        <v>8855.3863883900012</v>
      </c>
      <c r="Q152" s="4">
        <f t="shared" si="155"/>
        <v>18045.901676635</v>
      </c>
      <c r="R152" s="97">
        <f t="shared" si="168"/>
        <v>3.7208316249057072E-2</v>
      </c>
      <c r="S152" s="97">
        <f t="shared" si="169"/>
        <v>6.7624002130246996E-2</v>
      </c>
      <c r="T152" s="97">
        <f t="shared" si="117"/>
        <v>0.11929062851377004</v>
      </c>
      <c r="U152" s="4">
        <v>767.50029843300001</v>
      </c>
      <c r="V152" s="4">
        <f t="shared" si="160"/>
        <v>10091.043146055303</v>
      </c>
      <c r="W152" s="97">
        <f t="shared" si="122"/>
        <v>0.14340155405709676</v>
      </c>
      <c r="X152" s="97">
        <f t="shared" si="170"/>
        <v>-2.1908980509906195E-2</v>
      </c>
      <c r="Y152" s="4">
        <v>656.35894385999995</v>
      </c>
      <c r="Z152" s="4">
        <f t="shared" si="161"/>
        <v>7834.7978404160003</v>
      </c>
      <c r="AA152" s="97">
        <f t="shared" si="123"/>
        <v>7.3438053685450422E-2</v>
      </c>
      <c r="AB152" s="97">
        <f t="shared" si="171"/>
        <v>0.10667758691341911</v>
      </c>
      <c r="AC152" s="4">
        <v>121.51339210399999</v>
      </c>
      <c r="AD152" s="4">
        <f t="shared" si="136"/>
        <v>6.4555557115502468E-2</v>
      </c>
      <c r="AE152" s="4">
        <v>97.55312631000001</v>
      </c>
      <c r="AF152" s="4">
        <f t="shared" si="137"/>
        <v>5.1826356817618019E-2</v>
      </c>
      <c r="AG152" s="4">
        <v>560.685767328</v>
      </c>
      <c r="AH152" s="4">
        <f t="shared" si="138"/>
        <v>107.7222474651831</v>
      </c>
      <c r="AI152" s="4">
        <v>327.91874749600004</v>
      </c>
      <c r="AJ152" s="4">
        <f t="shared" si="139"/>
        <v>47.16135925907637</v>
      </c>
      <c r="AK152" s="101">
        <f>SUMIFS($AJ$3:$AJ152,$D$3:$D152,D152)</f>
        <v>233.95393666577652</v>
      </c>
      <c r="AL152" s="4">
        <v>128.50014999999999</v>
      </c>
      <c r="AM152" s="4">
        <f t="shared" si="140"/>
        <v>18.480924879322814</v>
      </c>
      <c r="AN152" s="101">
        <f>SUMIFS($AM$3:$AM152,$D$3:$D152,D152)</f>
        <v>36.814966127931946</v>
      </c>
      <c r="AO152" s="4">
        <f t="shared" si="153"/>
        <v>104.26686983199997</v>
      </c>
      <c r="AP152" s="56">
        <v>2109.3853955309996</v>
      </c>
      <c r="AQ152" s="4">
        <f t="shared" si="141"/>
        <v>1.1206382030983204</v>
      </c>
      <c r="AR152" s="4">
        <f>SUMIFS($AP$3:$AP152,$D$3:$D152,D152)</f>
        <v>11603.182383552001</v>
      </c>
      <c r="AS152" s="4">
        <f t="shared" si="162"/>
        <v>24304.429461571999</v>
      </c>
      <c r="AT152" s="97">
        <f t="shared" si="172"/>
        <v>4.7541652831911918E-2</v>
      </c>
      <c r="AU152" s="97">
        <f t="shared" si="173"/>
        <v>0.13407968440429463</v>
      </c>
      <c r="AV152" s="98">
        <f t="shared" si="131"/>
        <v>0.14753695183757021</v>
      </c>
      <c r="AW152" s="4">
        <v>1017.6511719879998</v>
      </c>
      <c r="AX152" s="4">
        <f>SUMIFS($AW$3:$AW152,$D$3:$D152,D152)</f>
        <v>6013.8833790580002</v>
      </c>
      <c r="AY152" s="4">
        <f t="shared" si="163"/>
        <v>12645.069422936002</v>
      </c>
      <c r="AZ152" s="97">
        <f t="shared" si="174"/>
        <v>7.5040067133528066E-2</v>
      </c>
      <c r="BA152" s="97">
        <f t="shared" si="175"/>
        <v>9.3437562907153549E-2</v>
      </c>
      <c r="BB152" s="97">
        <f t="shared" si="124"/>
        <v>7.8347323768850785E-2</v>
      </c>
      <c r="BC152" s="4">
        <v>672.40040875299997</v>
      </c>
      <c r="BD152" s="4">
        <f t="shared" si="154"/>
        <v>345.25076323499979</v>
      </c>
      <c r="BE152" s="4">
        <v>189.17546575100002</v>
      </c>
      <c r="BF152" s="4">
        <v>25.461571223</v>
      </c>
      <c r="BG152" s="4">
        <f t="shared" si="142"/>
        <v>3.6618897727496074</v>
      </c>
      <c r="BH152" s="4">
        <f>Datos1[[#This Row],[Intereses]]/Datos1[[#This Row],[PIB nominal (miles de millones de G.)]]*100</f>
        <v>1.3526788174343982E-2</v>
      </c>
      <c r="BI152" s="4">
        <v>491.07154408699995</v>
      </c>
      <c r="BJ152" s="4">
        <v>324.65579609899999</v>
      </c>
      <c r="BK152" s="4">
        <v>61.369846382999995</v>
      </c>
      <c r="BL152" s="56">
        <f t="shared" si="143"/>
        <v>66.76290568100012</v>
      </c>
      <c r="BM152" s="56">
        <f>SUMIFS($BL$3:$BL152,$D$3:$D152,D152)</f>
        <v>1104.9472237050006</v>
      </c>
      <c r="BN152" s="56">
        <f t="shared" si="156"/>
        <v>1492.951675886</v>
      </c>
      <c r="BO152" s="100">
        <f t="shared" si="176"/>
        <v>-1.2847980806712047</v>
      </c>
      <c r="BP152" s="100">
        <f t="shared" si="177"/>
        <v>-0.19595160543032764</v>
      </c>
      <c r="BQ152" s="100">
        <f t="shared" si="119"/>
        <v>-3.5732935809283606E-2</v>
      </c>
      <c r="BR152" s="2">
        <f t="shared" si="144"/>
        <v>3.5468654905115048E-2</v>
      </c>
      <c r="BS152" s="2">
        <f>+Datos1[[#This Row],[RON acumulado 12 meses]]/Datos1[[#This Row],[PIB nominal (miles de millones de G.)]]*100</f>
        <v>0.79314983735172351</v>
      </c>
      <c r="BT152" s="56">
        <v>223.67106257899999</v>
      </c>
      <c r="BU152" s="56">
        <f>SUMIFS($BT$3:$BT152,$D$3:$D152,D152)</f>
        <v>1304.5254828139998</v>
      </c>
      <c r="BV152" s="56">
        <f t="shared" si="164"/>
        <v>3642.9168757100006</v>
      </c>
      <c r="BW152" s="100">
        <f t="shared" si="178"/>
        <v>0.34846540594781095</v>
      </c>
      <c r="BX152" s="100">
        <f t="shared" si="179"/>
        <v>0.36562309528733272</v>
      </c>
      <c r="BY152" s="100">
        <f t="shared" si="120"/>
        <v>0.3243158611427035</v>
      </c>
      <c r="BZ152" s="56">
        <f t="shared" si="145"/>
        <v>32.168430194056668</v>
      </c>
      <c r="CA152" s="56">
        <f>Datos1[[#This Row],[Adquisición Neta de Activos no Financieros]]/Datos1[[#This Row],[PIB nominal (miles de millones de G.)]]*100</f>
        <v>0.11882813742081724</v>
      </c>
      <c r="CB152" s="56">
        <f>+Datos1[[#This Row],[ANANF acumulado por año]]/Datos1[[#This Row],[PIB nominal (miles de millones de G.)]]*100</f>
        <v>0.69304599152619173</v>
      </c>
      <c r="CC152" s="56">
        <f>+Datos1[[#This Row],[ANANF acumulado 12 meses]]/Datos1[[#This Row],[PIB nominal (miles de millones de G.)]]*100</f>
        <v>1.9353465849726976</v>
      </c>
      <c r="CD152" s="4">
        <v>151.46070195700003</v>
      </c>
      <c r="CE152" s="4">
        <f t="shared" si="146"/>
        <v>21.783117412989938</v>
      </c>
      <c r="CF152" s="4">
        <f t="shared" si="147"/>
        <v>72.210360621999968</v>
      </c>
      <c r="CG152" s="4">
        <f t="shared" si="148"/>
        <v>10.385312781066727</v>
      </c>
      <c r="CH152" s="56">
        <f t="shared" si="149"/>
        <v>-156.90815689799987</v>
      </c>
      <c r="CI152" s="56">
        <f>SUMIFS($CH$3:$CH152,$D$3:$D152,D152)</f>
        <v>-199.57825910899933</v>
      </c>
      <c r="CJ152" s="56">
        <f t="shared" si="157"/>
        <v>-2149.9651998240001</v>
      </c>
      <c r="CK152" s="56">
        <f>Datos1[[#This Row],[Resultado Fiscal (miles de millones de G.)]]*1000/$F$207</f>
        <v>-22.566571794546025</v>
      </c>
      <c r="CL152" s="56">
        <f t="shared" si="165"/>
        <v>-309.20855229434051</v>
      </c>
      <c r="CM152" s="100">
        <f t="shared" si="180"/>
        <v>-0.60801645609512922</v>
      </c>
      <c r="CN152" s="100">
        <f t="shared" si="181"/>
        <v>-1.4763551227476692</v>
      </c>
      <c r="CO152" s="100">
        <f t="shared" si="121"/>
        <v>0.78788992276276137</v>
      </c>
      <c r="CP152" s="4">
        <f t="shared" si="150"/>
        <v>-8.3359482515702188E-2</v>
      </c>
      <c r="CQ152" s="4">
        <f t="shared" si="158"/>
        <v>-1.1421967476209738</v>
      </c>
      <c r="CR152" s="73">
        <v>1113.18519324</v>
      </c>
      <c r="CS152" s="113">
        <f>SUM(Datos1[[#This Row],[FFPP]:[MTESS]])</f>
        <v>0</v>
      </c>
      <c r="CT152" s="113"/>
      <c r="CU152" s="113"/>
      <c r="CV152" s="113"/>
      <c r="CW152" s="113"/>
      <c r="CX152" s="113"/>
      <c r="CY152" s="113"/>
      <c r="CZ152" s="113"/>
    </row>
    <row r="153" spans="1:104">
      <c r="A153">
        <v>151</v>
      </c>
      <c r="B153" s="3">
        <v>42186</v>
      </c>
      <c r="C153" s="14" t="str">
        <f t="shared" si="132"/>
        <v>Julio</v>
      </c>
      <c r="D153" s="14">
        <f t="shared" si="151"/>
        <v>2015</v>
      </c>
      <c r="E153" s="15">
        <f t="shared" si="133"/>
        <v>188230.72332346055</v>
      </c>
      <c r="F153" s="15">
        <f t="shared" si="134"/>
        <v>5204.9208081108709</v>
      </c>
      <c r="G153" s="56">
        <v>2170.085056034</v>
      </c>
      <c r="H153" s="4">
        <f t="shared" si="152"/>
        <v>1.1528856807848895</v>
      </c>
      <c r="I153" s="4">
        <f>SUMIFS($G$3:$G153,$D$3:$D153,D153)</f>
        <v>14878.214663291001</v>
      </c>
      <c r="J153" s="2">
        <f t="shared" si="159"/>
        <v>25630.403263893</v>
      </c>
      <c r="K153" s="95">
        <f t="shared" si="166"/>
        <v>6.7100388244104581E-2</v>
      </c>
      <c r="L153" s="95">
        <f t="shared" si="167"/>
        <v>-7.1447743854141876E-2</v>
      </c>
      <c r="M153" s="95">
        <f t="shared" si="116"/>
        <v>0.1072644721832583</v>
      </c>
      <c r="N153" s="4">
        <v>1714.310288115</v>
      </c>
      <c r="O153" s="4">
        <f t="shared" si="135"/>
        <v>0.9107494556927801</v>
      </c>
      <c r="P153" s="4">
        <f>SUMIFS($N$3:$N153,$D$3:$D153,D153)</f>
        <v>10569.696676505002</v>
      </c>
      <c r="Q153" s="4">
        <f t="shared" si="155"/>
        <v>18039.236412195998</v>
      </c>
      <c r="R153" s="97">
        <f t="shared" si="168"/>
        <v>-3.8729570731602658E-3</v>
      </c>
      <c r="S153" s="97">
        <f t="shared" si="169"/>
        <v>5.533853862963678E-2</v>
      </c>
      <c r="T153" s="97">
        <f t="shared" si="117"/>
        <v>9.5901225888327835E-2</v>
      </c>
      <c r="U153" s="4">
        <v>1009.9188953170001</v>
      </c>
      <c r="V153" s="4">
        <f t="shared" si="160"/>
        <v>10088.521559140301</v>
      </c>
      <c r="W153" s="97">
        <f t="shared" si="122"/>
        <v>0.11620118054045903</v>
      </c>
      <c r="X153" s="97">
        <f t="shared" si="170"/>
        <v>-2.4906026173914242E-3</v>
      </c>
      <c r="Y153" s="4">
        <v>690.41037317299993</v>
      </c>
      <c r="Z153" s="4">
        <f t="shared" si="161"/>
        <v>7844.9967707670012</v>
      </c>
      <c r="AA153" s="97">
        <f t="shared" si="123"/>
        <v>5.9395675168778528E-2</v>
      </c>
      <c r="AB153" s="97">
        <f t="shared" si="171"/>
        <v>1.4993764745691029E-2</v>
      </c>
      <c r="AC153" s="4">
        <v>119.13493225400001</v>
      </c>
      <c r="AD153" s="4">
        <f t="shared" si="136"/>
        <v>6.3291969637324003E-2</v>
      </c>
      <c r="AE153" s="4">
        <v>57.425329457999993</v>
      </c>
      <c r="AF153" s="4">
        <f t="shared" si="137"/>
        <v>3.0507947079031737E-2</v>
      </c>
      <c r="AG153" s="4">
        <v>279.21450620700006</v>
      </c>
      <c r="AH153" s="4">
        <f t="shared" si="138"/>
        <v>53.644333218652967</v>
      </c>
      <c r="AI153" s="4">
        <v>145.61451615700003</v>
      </c>
      <c r="AJ153" s="4">
        <f t="shared" si="139"/>
        <v>20.942317455944259</v>
      </c>
      <c r="AK153" s="101">
        <f>SUMIFS($AJ$3:$AJ153,$D$3:$D153,D153)</f>
        <v>254.89625412172077</v>
      </c>
      <c r="AL153" s="4">
        <v>0</v>
      </c>
      <c r="AM153" s="4">
        <f t="shared" si="140"/>
        <v>0</v>
      </c>
      <c r="AN153" s="101">
        <f>SUMIFS($AM$3:$AM153,$D$3:$D153,D153)</f>
        <v>36.814966127931946</v>
      </c>
      <c r="AO153" s="4">
        <f t="shared" si="153"/>
        <v>133.59999005000003</v>
      </c>
      <c r="AP153" s="56">
        <v>2270.6238144860008</v>
      </c>
      <c r="AQ153" s="4">
        <f t="shared" si="141"/>
        <v>1.2062981931935213</v>
      </c>
      <c r="AR153" s="4">
        <f>SUMIFS($AP$3:$AP153,$D$3:$D153,D153)</f>
        <v>13873.806198038001</v>
      </c>
      <c r="AS153" s="4">
        <f t="shared" si="162"/>
        <v>24641.796264788001</v>
      </c>
      <c r="AT153" s="97">
        <f t="shared" si="172"/>
        <v>0.17450695962787544</v>
      </c>
      <c r="AU153" s="97">
        <f t="shared" si="173"/>
        <v>0.14050457107731718</v>
      </c>
      <c r="AV153" s="98">
        <f t="shared" si="131"/>
        <v>0.1447719146477966</v>
      </c>
      <c r="AW153" s="4">
        <v>1008.6017290380003</v>
      </c>
      <c r="AX153" s="4">
        <f>SUMIFS($AW$3:$AW153,$D$3:$D153,D153)</f>
        <v>7022.4851080960007</v>
      </c>
      <c r="AY153" s="4">
        <f t="shared" si="163"/>
        <v>12736.549656916002</v>
      </c>
      <c r="AZ153" s="97">
        <f t="shared" si="174"/>
        <v>9.9747126714345491E-2</v>
      </c>
      <c r="BA153" s="97">
        <f t="shared" si="175"/>
        <v>9.4339315467606433E-2</v>
      </c>
      <c r="BB153" s="97">
        <f t="shared" si="124"/>
        <v>8.2552134018460288E-2</v>
      </c>
      <c r="BC153" s="4">
        <v>684.43196869999997</v>
      </c>
      <c r="BD153" s="4">
        <f t="shared" si="154"/>
        <v>324.16976033800029</v>
      </c>
      <c r="BE153" s="4">
        <v>190.09571683999997</v>
      </c>
      <c r="BF153" s="4">
        <v>139.767127453</v>
      </c>
      <c r="BG153" s="4">
        <f t="shared" si="142"/>
        <v>20.101344496933507</v>
      </c>
      <c r="BH153" s="4">
        <f>Datos1[[#This Row],[Intereses]]/Datos1[[#This Row],[PIB nominal (miles de millones de G.)]]*100</f>
        <v>7.4253089498477115E-2</v>
      </c>
      <c r="BI153" s="4">
        <v>575.63692978300003</v>
      </c>
      <c r="BJ153" s="4">
        <v>288.209367966</v>
      </c>
      <c r="BK153" s="4">
        <v>68.312943406000002</v>
      </c>
      <c r="BL153" s="56">
        <f t="shared" si="143"/>
        <v>-100.53875845200082</v>
      </c>
      <c r="BM153" s="56">
        <f>SUMIFS($BL$3:$BL153,$D$3:$D153,D153)</f>
        <v>1004.4084652529998</v>
      </c>
      <c r="BN153" s="56">
        <f t="shared" si="156"/>
        <v>988.6069991049992</v>
      </c>
      <c r="BO153" s="100">
        <f t="shared" si="176"/>
        <v>-1.248977922037505</v>
      </c>
      <c r="BP153" s="100">
        <f t="shared" si="177"/>
        <v>-0.43510218409452428</v>
      </c>
      <c r="BQ153" s="100">
        <f t="shared" si="119"/>
        <v>-0.39049809569785587</v>
      </c>
      <c r="BR153" s="2">
        <f t="shared" si="144"/>
        <v>-5.3412512408631832E-2</v>
      </c>
      <c r="BS153" s="2">
        <f>+Datos1[[#This Row],[RON acumulado 12 meses]]/Datos1[[#This Row],[PIB nominal (miles de millones de G.)]]*100</f>
        <v>0.52521022160986508</v>
      </c>
      <c r="BT153" s="56">
        <v>286.77915658799998</v>
      </c>
      <c r="BU153" s="56">
        <f>SUMIFS($BT$3:$BT153,$D$3:$D153,D153)</f>
        <v>1591.3046394019998</v>
      </c>
      <c r="BV153" s="56">
        <f t="shared" si="164"/>
        <v>3606.5537891250005</v>
      </c>
      <c r="BW153" s="100">
        <f t="shared" si="178"/>
        <v>-0.11252965947114624</v>
      </c>
      <c r="BX153" s="100">
        <f t="shared" si="179"/>
        <v>0.24476025865662554</v>
      </c>
      <c r="BY153" s="100">
        <f t="shared" si="120"/>
        <v>0.24014357656008989</v>
      </c>
      <c r="BZ153" s="56">
        <f t="shared" si="145"/>
        <v>41.244652631599116</v>
      </c>
      <c r="CA153" s="56">
        <f>Datos1[[#This Row],[Adquisición Neta de Activos no Financieros]]/Datos1[[#This Row],[PIB nominal (miles de millones de G.)]]*100</f>
        <v>0.1523551264769839</v>
      </c>
      <c r="CB153" s="56">
        <f>+Datos1[[#This Row],[ANANF acumulado por año]]/Datos1[[#This Row],[PIB nominal (miles de millones de G.)]]*100</f>
        <v>0.84540111800317563</v>
      </c>
      <c r="CC153" s="56">
        <f>+Datos1[[#This Row],[ANANF acumulado 12 meses]]/Datos1[[#This Row],[PIB nominal (miles de millones de G.)]]*100</f>
        <v>1.9160282261293788</v>
      </c>
      <c r="CD153" s="4">
        <v>216.948239554</v>
      </c>
      <c r="CE153" s="4">
        <f t="shared" si="146"/>
        <v>31.201552044093368</v>
      </c>
      <c r="CF153" s="4">
        <f t="shared" si="147"/>
        <v>69.830917033999981</v>
      </c>
      <c r="CG153" s="4">
        <f t="shared" si="148"/>
        <v>10.043100587505755</v>
      </c>
      <c r="CH153" s="56">
        <f t="shared" si="149"/>
        <v>-387.3179150400008</v>
      </c>
      <c r="CI153" s="56">
        <f>SUMIFS($CH$3:$CH153,$D$3:$D153,D153)</f>
        <v>-586.8961741490001</v>
      </c>
      <c r="CJ153" s="56">
        <f t="shared" si="157"/>
        <v>-2617.9467900200007</v>
      </c>
      <c r="CK153" s="56">
        <f>Datos1[[#This Row],[Resultado Fiscal (miles de millones de G.)]]*1000/$F$207</f>
        <v>-55.70416293109534</v>
      </c>
      <c r="CL153" s="56">
        <f t="shared" si="165"/>
        <v>-376.51378589382125</v>
      </c>
      <c r="CM153" s="100">
        <f t="shared" si="180"/>
        <v>-5.8016398247531518</v>
      </c>
      <c r="CN153" s="100">
        <f t="shared" si="181"/>
        <v>-2.1746541748433046</v>
      </c>
      <c r="CO153" s="100">
        <f t="shared" si="121"/>
        <v>1.0354392169474895</v>
      </c>
      <c r="CP153" s="4">
        <f t="shared" si="150"/>
        <v>-0.20576763888561575</v>
      </c>
      <c r="CQ153" s="4">
        <f t="shared" si="158"/>
        <v>-1.3908180045195135</v>
      </c>
      <c r="CR153" s="73">
        <v>1100.6219479649999</v>
      </c>
      <c r="CS153" s="113">
        <f>SUM(Datos1[[#This Row],[FFPP]:[MTESS]])</f>
        <v>0</v>
      </c>
      <c r="CT153" s="113"/>
      <c r="CU153" s="113"/>
      <c r="CV153" s="113"/>
      <c r="CW153" s="113"/>
      <c r="CX153" s="113"/>
      <c r="CY153" s="113"/>
      <c r="CZ153" s="113"/>
    </row>
    <row r="154" spans="1:104">
      <c r="A154">
        <v>152</v>
      </c>
      <c r="B154" s="3">
        <v>42217</v>
      </c>
      <c r="C154" s="14" t="str">
        <f t="shared" si="132"/>
        <v>Agosto</v>
      </c>
      <c r="D154" s="14">
        <f t="shared" si="151"/>
        <v>2015</v>
      </c>
      <c r="E154" s="15">
        <f t="shared" si="133"/>
        <v>188230.72332346055</v>
      </c>
      <c r="F154" s="15">
        <f t="shared" si="134"/>
        <v>5204.9208081108709</v>
      </c>
      <c r="G154" s="56">
        <v>1938.667023795</v>
      </c>
      <c r="H154" s="4">
        <f t="shared" si="152"/>
        <v>1.0299418657938981</v>
      </c>
      <c r="I154" s="4">
        <f>SUMIFS($G$3:$G154,$D$3:$D154,D154)</f>
        <v>16816.881687085999</v>
      </c>
      <c r="J154" s="2">
        <f t="shared" si="159"/>
        <v>25965.047292091</v>
      </c>
      <c r="K154" s="95">
        <f t="shared" si="166"/>
        <v>8.1702442379020912E-2</v>
      </c>
      <c r="L154" s="95">
        <f t="shared" si="167"/>
        <v>0.20862794929785244</v>
      </c>
      <c r="M154" s="95">
        <f t="shared" si="116"/>
        <v>0.12025961438810029</v>
      </c>
      <c r="N154" s="4">
        <v>1256.805842538</v>
      </c>
      <c r="O154" s="4">
        <f t="shared" si="135"/>
        <v>0.66769431703148285</v>
      </c>
      <c r="P154" s="4">
        <f>SUMIFS($N$3:$N154,$D$3:$D154,D154)</f>
        <v>11826.502519043002</v>
      </c>
      <c r="Q154" s="4">
        <f t="shared" si="155"/>
        <v>18094.589083990999</v>
      </c>
      <c r="R154" s="97">
        <f t="shared" si="168"/>
        <v>4.6071435111173731E-2</v>
      </c>
      <c r="S154" s="97">
        <f t="shared" si="169"/>
        <v>5.4345930883839655E-2</v>
      </c>
      <c r="T154" s="97">
        <f t="shared" si="117"/>
        <v>9.3992420003786048E-2</v>
      </c>
      <c r="U154" s="4">
        <v>627.03193151899995</v>
      </c>
      <c r="V154" s="4">
        <f t="shared" si="160"/>
        <v>10114.101668281302</v>
      </c>
      <c r="W154" s="97">
        <f t="shared" si="122"/>
        <v>0.1061625161386186</v>
      </c>
      <c r="X154" s="97">
        <f t="shared" si="170"/>
        <v>4.2530603764507902E-2</v>
      </c>
      <c r="Y154" s="4">
        <v>664.1101051290002</v>
      </c>
      <c r="Z154" s="4">
        <f t="shared" si="161"/>
        <v>7832.3879201960008</v>
      </c>
      <c r="AA154" s="97">
        <f t="shared" si="123"/>
        <v>4.9337373472885027E-2</v>
      </c>
      <c r="AB154" s="97">
        <f t="shared" si="171"/>
        <v>-1.8632329514040591E-2</v>
      </c>
      <c r="AC154" s="4">
        <v>150.38964129600001</v>
      </c>
      <c r="AD154" s="4">
        <f t="shared" si="136"/>
        <v>7.9896437011277133E-2</v>
      </c>
      <c r="AE154" s="4">
        <v>74.352695522000005</v>
      </c>
      <c r="AF154" s="4">
        <f t="shared" si="137"/>
        <v>3.9500828668777098E-2</v>
      </c>
      <c r="AG154" s="4">
        <v>457.11884443900004</v>
      </c>
      <c r="AH154" s="4">
        <f t="shared" si="138"/>
        <v>87.824361078975116</v>
      </c>
      <c r="AI154" s="4">
        <v>334.90676548600004</v>
      </c>
      <c r="AJ154" s="4">
        <f t="shared" si="139"/>
        <v>48.166377817642619</v>
      </c>
      <c r="AK154" s="101">
        <f>SUMIFS($AJ$3:$AJ154,$D$3:$D154,D154)</f>
        <v>303.06263193936337</v>
      </c>
      <c r="AL154" s="4">
        <v>0</v>
      </c>
      <c r="AM154" s="4">
        <f t="shared" si="140"/>
        <v>0</v>
      </c>
      <c r="AN154" s="101">
        <f>SUMIFS($AM$3:$AM154,$D$3:$D154,D154)</f>
        <v>36.814966127931946</v>
      </c>
      <c r="AO154" s="4">
        <f t="shared" si="153"/>
        <v>122.212078953</v>
      </c>
      <c r="AP154" s="56">
        <v>2154.6904558440001</v>
      </c>
      <c r="AQ154" s="4">
        <f t="shared" si="141"/>
        <v>1.1447071008388594</v>
      </c>
      <c r="AR154" s="4">
        <f>SUMIFS($AP$3:$AP154,$D$3:$D154,D154)</f>
        <v>16028.496653882001</v>
      </c>
      <c r="AS154" s="4">
        <f t="shared" si="162"/>
        <v>24974.062117835001</v>
      </c>
      <c r="AT154" s="97">
        <f t="shared" si="172"/>
        <v>0.18232076791382723</v>
      </c>
      <c r="AU154" s="97">
        <f t="shared" si="173"/>
        <v>0.1459529599966094</v>
      </c>
      <c r="AV154" s="98">
        <f t="shared" si="131"/>
        <v>0.1429107587006071</v>
      </c>
      <c r="AW154" s="4">
        <v>1012.37602474</v>
      </c>
      <c r="AX154" s="4">
        <f>SUMIFS($AW$3:$AW154,$D$3:$D154,D154)</f>
        <v>8034.8611328360003</v>
      </c>
      <c r="AY154" s="4">
        <f t="shared" si="163"/>
        <v>12827.817909268</v>
      </c>
      <c r="AZ154" s="97">
        <f t="shared" si="174"/>
        <v>9.9085313454021051E-2</v>
      </c>
      <c r="BA154" s="97">
        <f t="shared" si="175"/>
        <v>9.4935043418147957E-2</v>
      </c>
      <c r="BB154" s="97">
        <f t="shared" si="124"/>
        <v>8.7363995965686891E-2</v>
      </c>
      <c r="BC154" s="4">
        <v>699.04849012600005</v>
      </c>
      <c r="BD154" s="4">
        <f t="shared" si="154"/>
        <v>313.327534614</v>
      </c>
      <c r="BE154" s="4">
        <v>189.26221580000004</v>
      </c>
      <c r="BF154" s="4">
        <v>208.11814463200002</v>
      </c>
      <c r="BG154" s="4">
        <f t="shared" si="142"/>
        <v>29.931605503713676</v>
      </c>
      <c r="BH154" s="4">
        <f>Datos1[[#This Row],[Intereses]]/Datos1[[#This Row],[PIB nominal (miles de millones de G.)]]*100</f>
        <v>0.11056544912403296</v>
      </c>
      <c r="BI154" s="4">
        <v>338.24739457899994</v>
      </c>
      <c r="BJ154" s="4">
        <v>367.76076541800001</v>
      </c>
      <c r="BK154" s="4">
        <v>38.925910674999997</v>
      </c>
      <c r="BL154" s="56">
        <f t="shared" si="143"/>
        <v>-216.02343204900012</v>
      </c>
      <c r="BM154" s="56">
        <f>SUMIFS($BL$3:$BL154,$D$3:$D154,D154)</f>
        <v>788.38503320399968</v>
      </c>
      <c r="BN154" s="56">
        <f t="shared" si="156"/>
        <v>990.9851742559988</v>
      </c>
      <c r="BO154" s="100">
        <f t="shared" si="176"/>
        <v>-1.0889000229846291E-2</v>
      </c>
      <c r="BP154" s="100">
        <f t="shared" si="177"/>
        <v>-0.4945064017256896</v>
      </c>
      <c r="BQ154" s="100">
        <f t="shared" si="119"/>
        <v>-0.25289080722835522</v>
      </c>
      <c r="BR154" s="2">
        <f t="shared" si="144"/>
        <v>-0.11476523504496121</v>
      </c>
      <c r="BS154" s="2">
        <f>+Datos1[[#This Row],[RON acumulado 12 meses]]/Datos1[[#This Row],[PIB nominal (miles de millones de G.)]]*100</f>
        <v>0.52647365783802691</v>
      </c>
      <c r="BT154" s="56">
        <v>311.42469313400005</v>
      </c>
      <c r="BU154" s="56">
        <f>SUMIFS($BT$3:$BT154,$D$3:$D154,D154)</f>
        <v>1902.7293325359999</v>
      </c>
      <c r="BV154" s="56">
        <f t="shared" si="164"/>
        <v>3680.3963352019996</v>
      </c>
      <c r="BW154" s="100">
        <f t="shared" si="178"/>
        <v>0.31080848031600627</v>
      </c>
      <c r="BX154" s="100">
        <f t="shared" si="179"/>
        <v>0.25511120662622844</v>
      </c>
      <c r="BY154" s="100">
        <f t="shared" si="120"/>
        <v>0.20366818902004913</v>
      </c>
      <c r="BZ154" s="56">
        <f t="shared" si="145"/>
        <v>44.789180085592228</v>
      </c>
      <c r="CA154" s="56">
        <f>Datos1[[#This Row],[Adquisición Neta de Activos no Financieros]]/Datos1[[#This Row],[PIB nominal (miles de millones de G.)]]*100</f>
        <v>0.16544838570207254</v>
      </c>
      <c r="CB154" s="56">
        <f>+Datos1[[#This Row],[ANANF acumulado por año]]/Datos1[[#This Row],[PIB nominal (miles de millones de G.)]]*100</f>
        <v>1.0108495037052483</v>
      </c>
      <c r="CC154" s="56">
        <f>+Datos1[[#This Row],[ANANF acumulado 12 meses]]/Datos1[[#This Row],[PIB nominal (miles de millones de G.)]]*100</f>
        <v>1.9552580313244143</v>
      </c>
      <c r="CD154" s="4">
        <v>209.92603130700002</v>
      </c>
      <c r="CE154" s="4">
        <f t="shared" si="146"/>
        <v>30.191616233903513</v>
      </c>
      <c r="CF154" s="4">
        <f t="shared" si="147"/>
        <v>101.49866182700003</v>
      </c>
      <c r="CG154" s="4">
        <f t="shared" si="148"/>
        <v>14.597563851688715</v>
      </c>
      <c r="CH154" s="56">
        <f t="shared" si="149"/>
        <v>-527.44812518300023</v>
      </c>
      <c r="CI154" s="56">
        <f>SUMIFS($CH$3:$CH154,$D$3:$D154,D154)</f>
        <v>-1114.3442993320004</v>
      </c>
      <c r="CJ154" s="56">
        <f t="shared" si="157"/>
        <v>-2689.4111609460015</v>
      </c>
      <c r="CK154" s="56">
        <f>Datos1[[#This Row],[Resultado Fiscal (miles de millones de G.)]]*1000/$F$207</f>
        <v>-75.857726074613012</v>
      </c>
      <c r="CL154" s="56">
        <f t="shared" si="165"/>
        <v>-386.79181024345422</v>
      </c>
      <c r="CM154" s="100">
        <f t="shared" si="180"/>
        <v>0.15672569528808711</v>
      </c>
      <c r="CN154" s="100">
        <f t="shared" si="181"/>
        <v>-26.529428144591794</v>
      </c>
      <c r="CO154" s="100">
        <f t="shared" si="121"/>
        <v>0.55347373825375823</v>
      </c>
      <c r="CP154" s="4">
        <f t="shared" si="150"/>
        <v>-0.28021362074703382</v>
      </c>
      <c r="CQ154" s="4">
        <f t="shared" si="158"/>
        <v>-1.4287843734863876</v>
      </c>
      <c r="CR154" s="73">
        <v>1111.400261877</v>
      </c>
      <c r="CS154" s="113">
        <f>SUM(Datos1[[#This Row],[FFPP]:[MTESS]])</f>
        <v>0</v>
      </c>
      <c r="CT154" s="113"/>
      <c r="CU154" s="113"/>
      <c r="CV154" s="113"/>
      <c r="CW154" s="113"/>
      <c r="CX154" s="113"/>
      <c r="CY154" s="113"/>
      <c r="CZ154" s="113"/>
    </row>
    <row r="155" spans="1:104">
      <c r="A155">
        <v>153</v>
      </c>
      <c r="B155" s="3">
        <v>42248</v>
      </c>
      <c r="C155" s="14" t="str">
        <f t="shared" si="132"/>
        <v>Septiembre</v>
      </c>
      <c r="D155" s="14">
        <f t="shared" si="151"/>
        <v>2015</v>
      </c>
      <c r="E155" s="15">
        <f t="shared" si="133"/>
        <v>188230.72332346055</v>
      </c>
      <c r="F155" s="15">
        <f t="shared" si="134"/>
        <v>5204.9208081108709</v>
      </c>
      <c r="G155" s="56">
        <v>2165.9943171030004</v>
      </c>
      <c r="H155" s="4">
        <f t="shared" si="152"/>
        <v>1.1507124229560015</v>
      </c>
      <c r="I155" s="4">
        <f>SUMIFS($G$3:$G155,$D$3:$D155,D155)</f>
        <v>18982.876004188998</v>
      </c>
      <c r="J155" s="2">
        <f t="shared" si="159"/>
        <v>25803.533787036999</v>
      </c>
      <c r="K155" s="95">
        <f t="shared" si="166"/>
        <v>6.2027334172511717E-2</v>
      </c>
      <c r="L155" s="95">
        <f t="shared" si="167"/>
        <v>-6.9393324274338308E-2</v>
      </c>
      <c r="M155" s="95">
        <f t="shared" ref="M155:M208" si="182">J155/J143-1</f>
        <v>9.0237883287068055E-2</v>
      </c>
      <c r="N155" s="4">
        <v>1678.6854614480001</v>
      </c>
      <c r="O155" s="4">
        <f t="shared" si="135"/>
        <v>0.89182330695468004</v>
      </c>
      <c r="P155" s="4">
        <f>SUMIFS($N$3:$N155,$D$3:$D155,D155)</f>
        <v>13505.187980491002</v>
      </c>
      <c r="Q155" s="4">
        <f t="shared" si="155"/>
        <v>18108.110768974002</v>
      </c>
      <c r="R155" s="97">
        <f t="shared" si="168"/>
        <v>8.120333371474775E-3</v>
      </c>
      <c r="S155" s="97">
        <f t="shared" si="169"/>
        <v>4.8370713155727829E-2</v>
      </c>
      <c r="T155" s="97">
        <f t="shared" ref="T155:T212" si="183">IFERROR(Q155/Q143-1,0)</f>
        <v>7.8431694790342954E-2</v>
      </c>
      <c r="U155" s="4">
        <v>980.79791995899984</v>
      </c>
      <c r="V155" s="4">
        <f t="shared" si="160"/>
        <v>10128.547157810301</v>
      </c>
      <c r="W155" s="97">
        <f t="shared" si="122"/>
        <v>9.0491074384478454E-2</v>
      </c>
      <c r="X155" s="97">
        <f t="shared" si="170"/>
        <v>1.4948469185897206E-2</v>
      </c>
      <c r="Y155" s="4">
        <v>666.13986548799983</v>
      </c>
      <c r="Z155" s="4">
        <f t="shared" si="161"/>
        <v>7845.3800833140012</v>
      </c>
      <c r="AA155" s="97">
        <f t="shared" si="123"/>
        <v>4.7236761539738437E-2</v>
      </c>
      <c r="AB155" s="97">
        <f t="shared" si="171"/>
        <v>1.9891615741518764E-2</v>
      </c>
      <c r="AC155" s="4">
        <v>121.83067825399999</v>
      </c>
      <c r="AD155" s="4">
        <f t="shared" si="136"/>
        <v>6.4724119475779204E-2</v>
      </c>
      <c r="AE155" s="4">
        <v>56.566270660999997</v>
      </c>
      <c r="AF155" s="4">
        <f t="shared" si="137"/>
        <v>3.0051561011001936E-2</v>
      </c>
      <c r="AG155" s="4">
        <v>308.91190674000001</v>
      </c>
      <c r="AH155" s="4">
        <f t="shared" si="138"/>
        <v>59.34997248346604</v>
      </c>
      <c r="AI155" s="4">
        <v>219.65416787300001</v>
      </c>
      <c r="AJ155" s="4">
        <f t="shared" si="139"/>
        <v>31.590719356289277</v>
      </c>
      <c r="AK155" s="101">
        <f>SUMIFS($AJ$3:$AJ155,$D$3:$D155,D155)</f>
        <v>334.65335129565267</v>
      </c>
      <c r="AL155" s="4">
        <v>0</v>
      </c>
      <c r="AM155" s="4">
        <f t="shared" si="140"/>
        <v>0</v>
      </c>
      <c r="AN155" s="101">
        <f>SUMIFS($AM$3:$AM155,$D$3:$D155,D155)</f>
        <v>36.814966127931946</v>
      </c>
      <c r="AO155" s="4">
        <f t="shared" si="153"/>
        <v>89.257738867</v>
      </c>
      <c r="AP155" s="56">
        <v>2023.0527199800003</v>
      </c>
      <c r="AQ155" s="4">
        <f t="shared" si="141"/>
        <v>1.0747728554936986</v>
      </c>
      <c r="AR155" s="4">
        <f>SUMIFS($AP$3:$AP155,$D$3:$D155,D155)</f>
        <v>18051.549373862003</v>
      </c>
      <c r="AS155" s="4">
        <f t="shared" si="162"/>
        <v>25129.864600108001</v>
      </c>
      <c r="AT155" s="97">
        <f t="shared" si="172"/>
        <v>8.3439530024816966E-2</v>
      </c>
      <c r="AU155" s="97">
        <f t="shared" si="173"/>
        <v>0.13859039934172612</v>
      </c>
      <c r="AV155" s="98">
        <f t="shared" ref="AV155:AV186" si="184">IFERROR(AS155/AS143-1,0)</f>
        <v>0.13324870799087485</v>
      </c>
      <c r="AW155" s="4">
        <v>1055.5166236290002</v>
      </c>
      <c r="AX155" s="4">
        <f>SUMIFS($AW$3:$AW155,$D$3:$D155,D155)</f>
        <v>9090.3777564650009</v>
      </c>
      <c r="AY155" s="4">
        <f t="shared" si="163"/>
        <v>12910.611055858002</v>
      </c>
      <c r="AZ155" s="97">
        <f t="shared" si="174"/>
        <v>8.5114781892614344E-2</v>
      </c>
      <c r="BA155" s="97">
        <f t="shared" si="175"/>
        <v>9.378566576736147E-2</v>
      </c>
      <c r="BB155" s="97">
        <f t="shared" si="124"/>
        <v>8.7856285585967919E-2</v>
      </c>
      <c r="BC155" s="4">
        <v>726.72073208400002</v>
      </c>
      <c r="BD155" s="4">
        <f t="shared" si="154"/>
        <v>328.79589154500013</v>
      </c>
      <c r="BE155" s="4">
        <v>214.75227031899999</v>
      </c>
      <c r="BF155" s="4">
        <v>60.784454132999997</v>
      </c>
      <c r="BG155" s="4">
        <f t="shared" si="142"/>
        <v>8.7420359483052437</v>
      </c>
      <c r="BH155" s="4">
        <f>Datos1[[#This Row],[Intereses]]/Datos1[[#This Row],[PIB nominal (miles de millones de G.)]]*100</f>
        <v>3.2292525396370293E-2</v>
      </c>
      <c r="BI155" s="4">
        <v>358.78424022499996</v>
      </c>
      <c r="BJ155" s="4">
        <v>290.66804872700004</v>
      </c>
      <c r="BK155" s="4">
        <v>42.547082946999993</v>
      </c>
      <c r="BL155" s="56">
        <f t="shared" si="143"/>
        <v>142.94159712300007</v>
      </c>
      <c r="BM155" s="56">
        <f>SUMIFS($BL$3:$BL155,$D$3:$D155,D155)</f>
        <v>931.32663032699975</v>
      </c>
      <c r="BN155" s="56">
        <f t="shared" si="156"/>
        <v>673.66918692899912</v>
      </c>
      <c r="BO155" s="100">
        <f t="shared" si="176"/>
        <v>-0.68943130552902687</v>
      </c>
      <c r="BP155" s="100">
        <f t="shared" si="177"/>
        <v>-0.538922479984417</v>
      </c>
      <c r="BQ155" s="100">
        <f t="shared" ref="BQ155:BQ208" si="185">IFERROR(BN155/BN143-1,0)</f>
        <v>-0.54870164264793508</v>
      </c>
      <c r="BR155" s="2">
        <f t="shared" si="144"/>
        <v>7.5939567462302918E-2</v>
      </c>
      <c r="BS155" s="2">
        <f>+Datos1[[#This Row],[RON acumulado 12 meses]]/Datos1[[#This Row],[PIB nominal (miles de millones de G.)]]*100</f>
        <v>0.35789544609641039</v>
      </c>
      <c r="BT155" s="56">
        <v>383.59698211199998</v>
      </c>
      <c r="BU155" s="56">
        <f>SUMIFS($BT$3:$BT155,$D$3:$D155,D155)</f>
        <v>2286.3263146479999</v>
      </c>
      <c r="BV155" s="56">
        <f t="shared" si="164"/>
        <v>3771.2695168709997</v>
      </c>
      <c r="BW155" s="100">
        <f t="shared" si="178"/>
        <v>0.31044001728412596</v>
      </c>
      <c r="BX155" s="100">
        <f t="shared" si="179"/>
        <v>0.26406569548253223</v>
      </c>
      <c r="BY155" s="100">
        <f t="shared" ref="BY155:BY208" si="186">IFERROR(BV155/BV143-1,0)</f>
        <v>0.20279284255379237</v>
      </c>
      <c r="BZ155" s="56">
        <f t="shared" si="145"/>
        <v>55.169017392950977</v>
      </c>
      <c r="CA155" s="56">
        <f>Datos1[[#This Row],[Adquisición Neta de Activos no Financieros]]/Datos1[[#This Row],[PIB nominal (miles de millones de G.)]]*100</f>
        <v>0.20379084526643243</v>
      </c>
      <c r="CB155" s="56">
        <f>+Datos1[[#This Row],[ANANF acumulado por año]]/Datos1[[#This Row],[PIB nominal (miles de millones de G.)]]*100</f>
        <v>1.2146403489716806</v>
      </c>
      <c r="CC155" s="56">
        <f>+Datos1[[#This Row],[ANANF acumulado 12 meses]]/Datos1[[#This Row],[PIB nominal (miles de millones de G.)]]*100</f>
        <v>2.0035355813781539</v>
      </c>
      <c r="CD155" s="4">
        <v>280.01687131400001</v>
      </c>
      <c r="CE155" s="4">
        <f t="shared" si="146"/>
        <v>40.272099010756307</v>
      </c>
      <c r="CF155" s="4">
        <f t="shared" si="147"/>
        <v>103.58011079799996</v>
      </c>
      <c r="CG155" s="4">
        <f t="shared" si="148"/>
        <v>14.896918382194659</v>
      </c>
      <c r="CH155" s="56">
        <f t="shared" si="149"/>
        <v>-240.65538498899991</v>
      </c>
      <c r="CI155" s="56">
        <f>SUMIFS($CH$3:$CH155,$D$3:$D155,D155)</f>
        <v>-1354.9996843210004</v>
      </c>
      <c r="CJ155" s="56">
        <f t="shared" si="157"/>
        <v>-3097.6003299420008</v>
      </c>
      <c r="CK155" s="56">
        <f>Datos1[[#This Row],[Resultado Fiscal (miles de millones de G.)]]*1000/$F$207</f>
        <v>-34.611119845278147</v>
      </c>
      <c r="CL155" s="56">
        <f t="shared" si="165"/>
        <v>-445.4976823281815</v>
      </c>
      <c r="CM155" s="100">
        <f t="shared" si="180"/>
        <v>-2.4364588397224116</v>
      </c>
      <c r="CN155" s="100">
        <f t="shared" si="181"/>
        <v>-7.416228976605459</v>
      </c>
      <c r="CO155" s="100">
        <f t="shared" ref="CO155:CO208" si="187">IFERROR(CJ155/CJ143-1,0)</f>
        <v>0.88568590722719365</v>
      </c>
      <c r="CP155" s="4">
        <f t="shared" si="150"/>
        <v>-0.1278512778041295</v>
      </c>
      <c r="CQ155" s="4">
        <f t="shared" si="158"/>
        <v>-1.6456401352817438</v>
      </c>
      <c r="CR155" s="73">
        <v>1143.135944444</v>
      </c>
      <c r="CS155" s="113">
        <f>SUM(Datos1[[#This Row],[FFPP]:[MTESS]])</f>
        <v>0</v>
      </c>
      <c r="CT155" s="113"/>
      <c r="CU155" s="113"/>
      <c r="CV155" s="113"/>
      <c r="CW155" s="113"/>
      <c r="CX155" s="113"/>
      <c r="CY155" s="113"/>
      <c r="CZ155" s="113"/>
    </row>
    <row r="156" spans="1:104">
      <c r="A156">
        <v>154</v>
      </c>
      <c r="B156" s="3">
        <v>42278</v>
      </c>
      <c r="C156" s="14" t="str">
        <f t="shared" si="132"/>
        <v>Octubre</v>
      </c>
      <c r="D156" s="14">
        <f t="shared" si="151"/>
        <v>2015</v>
      </c>
      <c r="E156" s="15">
        <f t="shared" si="133"/>
        <v>188230.72332346055</v>
      </c>
      <c r="F156" s="15">
        <f t="shared" si="134"/>
        <v>5204.9208081108709</v>
      </c>
      <c r="G156" s="56">
        <v>2145.2125293100003</v>
      </c>
      <c r="H156" s="4">
        <f t="shared" si="152"/>
        <v>1.1396718300994952</v>
      </c>
      <c r="I156" s="4">
        <f>SUMIFS($G$3:$G156,$D$3:$D156,D156)</f>
        <v>21128.088533498998</v>
      </c>
      <c r="J156" s="2">
        <f t="shared" si="159"/>
        <v>25914.022621849996</v>
      </c>
      <c r="K156" s="95">
        <f t="shared" si="166"/>
        <v>6.123775550819377E-2</v>
      </c>
      <c r="L156" s="95">
        <f t="shared" si="167"/>
        <v>5.4301640616768898E-2</v>
      </c>
      <c r="M156" s="95">
        <f t="shared" si="182"/>
        <v>7.7348486358713497E-2</v>
      </c>
      <c r="N156" s="4">
        <v>1495.9204339930002</v>
      </c>
      <c r="O156" s="4">
        <f t="shared" si="135"/>
        <v>0.79472702839396303</v>
      </c>
      <c r="P156" s="4">
        <f>SUMIFS($N$3:$N156,$D$3:$D156,D156)</f>
        <v>15001.108414484002</v>
      </c>
      <c r="Q156" s="4">
        <f t="shared" si="155"/>
        <v>18040.799058911001</v>
      </c>
      <c r="R156" s="97">
        <f t="shared" si="168"/>
        <v>-4.3059318041113959E-2</v>
      </c>
      <c r="S156" s="97">
        <f t="shared" si="169"/>
        <v>3.8476400574269487E-2</v>
      </c>
      <c r="T156" s="97">
        <f t="shared" si="183"/>
        <v>4.8871095672701648E-2</v>
      </c>
      <c r="U156" s="4">
        <v>818.10751792199994</v>
      </c>
      <c r="V156" s="4">
        <f t="shared" si="160"/>
        <v>10225.7324650343</v>
      </c>
      <c r="W156" s="97">
        <f t="shared" ref="W156:W212" si="188">V156/V144-1</f>
        <v>7.4185288206916722E-2</v>
      </c>
      <c r="X156" s="97">
        <f t="shared" si="170"/>
        <v>0.13480692615907164</v>
      </c>
      <c r="Y156" s="4">
        <v>684.14813689899995</v>
      </c>
      <c r="Z156" s="4">
        <f t="shared" si="161"/>
        <v>7755.561082399</v>
      </c>
      <c r="AA156" s="97">
        <f t="shared" ref="AA156:AA212" si="189">Z156/Z144-1</f>
        <v>1.9069047320792398E-2</v>
      </c>
      <c r="AB156" s="97">
        <f t="shared" si="171"/>
        <v>-0.11605014803171831</v>
      </c>
      <c r="AC156" s="4">
        <v>182.17131652699999</v>
      </c>
      <c r="AD156" s="4">
        <f t="shared" si="136"/>
        <v>9.6780861971162951E-2</v>
      </c>
      <c r="AE156" s="4">
        <v>118.752274336</v>
      </c>
      <c r="AF156" s="4">
        <f t="shared" si="137"/>
        <v>6.3088677681981287E-2</v>
      </c>
      <c r="AG156" s="4">
        <v>348.36850445399995</v>
      </c>
      <c r="AH156" s="4">
        <f t="shared" si="138"/>
        <v>66.930606112418545</v>
      </c>
      <c r="AI156" s="4">
        <v>161.39139082600002</v>
      </c>
      <c r="AJ156" s="4">
        <f t="shared" si="139"/>
        <v>23.211351660093278</v>
      </c>
      <c r="AK156" s="101">
        <f>SUMIFS($AJ$3:$AJ156,$D$3:$D156,D156)</f>
        <v>357.86470295574594</v>
      </c>
      <c r="AL156" s="4">
        <v>84.811900000000009</v>
      </c>
      <c r="AM156" s="4">
        <f t="shared" si="140"/>
        <v>12.197669440639865</v>
      </c>
      <c r="AN156" s="101">
        <f>SUMIFS($AM$3:$AM156,$D$3:$D156,D156)</f>
        <v>49.01263556857181</v>
      </c>
      <c r="AO156" s="4">
        <f t="shared" si="153"/>
        <v>102.16521362799992</v>
      </c>
      <c r="AP156" s="56">
        <v>1936.3398166460001</v>
      </c>
      <c r="AQ156" s="4">
        <f t="shared" si="141"/>
        <v>1.0287055069743019</v>
      </c>
      <c r="AR156" s="4">
        <f>SUMIFS($AP$3:$AP156,$D$3:$D156,D156)</f>
        <v>19987.889190508002</v>
      </c>
      <c r="AS156" s="4">
        <f t="shared" si="162"/>
        <v>25227.987380816001</v>
      </c>
      <c r="AT156" s="97">
        <f t="shared" si="172"/>
        <v>5.3379322892593173E-2</v>
      </c>
      <c r="AU156" s="97">
        <f t="shared" si="173"/>
        <v>0.1297371374666263</v>
      </c>
      <c r="AV156" s="98">
        <f t="shared" si="184"/>
        <v>0.12194537522930338</v>
      </c>
      <c r="AW156" s="4">
        <v>1035.4251565890002</v>
      </c>
      <c r="AX156" s="4">
        <f>SUMIFS($AW$3:$AW156,$D$3:$D156,D156)</f>
        <v>10125.802913054002</v>
      </c>
      <c r="AY156" s="4">
        <f t="shared" si="163"/>
        <v>12984.887839743002</v>
      </c>
      <c r="AZ156" s="97">
        <f t="shared" si="174"/>
        <v>7.7279206826347702E-2</v>
      </c>
      <c r="BA156" s="97">
        <f t="shared" si="175"/>
        <v>9.2074598094479487E-2</v>
      </c>
      <c r="BB156" s="97">
        <f t="shared" ref="BB156:BB212" si="190">IFERROR(AY156/AY144-1,0)</f>
        <v>8.6781522995550864E-2</v>
      </c>
      <c r="BC156" s="4">
        <v>695.26408738199996</v>
      </c>
      <c r="BD156" s="4">
        <f t="shared" si="154"/>
        <v>340.1610692070002</v>
      </c>
      <c r="BE156" s="4">
        <v>221.56526784900001</v>
      </c>
      <c r="BF156" s="4">
        <v>18.725483708999999</v>
      </c>
      <c r="BG156" s="4">
        <f t="shared" si="142"/>
        <v>2.6931039205402647</v>
      </c>
      <c r="BH156" s="4">
        <f>Datos1[[#This Row],[Intereses]]/Datos1[[#This Row],[PIB nominal (miles de millones de G.)]]*100</f>
        <v>9.9481547849240553E-3</v>
      </c>
      <c r="BI156" s="4">
        <v>259.29397415300002</v>
      </c>
      <c r="BJ156" s="4">
        <v>341.02245227699996</v>
      </c>
      <c r="BK156" s="4">
        <v>60.307482069000002</v>
      </c>
      <c r="BL156" s="56">
        <f t="shared" si="143"/>
        <v>208.87271266400012</v>
      </c>
      <c r="BM156" s="56">
        <f>SUMIFS($BL$3:$BL156,$D$3:$D156,D156)</f>
        <v>1140.1993429909999</v>
      </c>
      <c r="BN156" s="56">
        <f t="shared" si="156"/>
        <v>686.03524103399945</v>
      </c>
      <c r="BO156" s="100">
        <f t="shared" si="176"/>
        <v>6.2929440639221346E-2</v>
      </c>
      <c r="BP156" s="100">
        <f t="shared" si="177"/>
        <v>-0.48556207554586417</v>
      </c>
      <c r="BQ156" s="100">
        <f t="shared" si="185"/>
        <v>-0.56236234969639698</v>
      </c>
      <c r="BR156" s="2">
        <f t="shared" si="144"/>
        <v>0.11096632312519346</v>
      </c>
      <c r="BS156" s="2">
        <f>+Datos1[[#This Row],[RON acumulado 12 meses]]/Datos1[[#This Row],[PIB nominal (miles de millones de G.)]]*100</f>
        <v>0.36446507186560545</v>
      </c>
      <c r="BT156" s="56">
        <v>424.79687040800002</v>
      </c>
      <c r="BU156" s="56">
        <f>SUMIFS($BT$3:$BT156,$D$3:$D156,D156)</f>
        <v>2711.1231850559998</v>
      </c>
      <c r="BV156" s="56">
        <f t="shared" si="164"/>
        <v>3910.4705125800006</v>
      </c>
      <c r="BW156" s="100">
        <f t="shared" si="178"/>
        <v>0.48740548460550825</v>
      </c>
      <c r="BX156" s="100">
        <f t="shared" si="179"/>
        <v>0.29452207254269958</v>
      </c>
      <c r="BY156" s="100">
        <f t="shared" si="186"/>
        <v>0.23955954524552348</v>
      </c>
      <c r="BZ156" s="56">
        <f t="shared" si="145"/>
        <v>61.09439600639903</v>
      </c>
      <c r="CA156" s="56">
        <f>Datos1[[#This Row],[Adquisición Neta de Activos no Financieros]]/Datos1[[#This Row],[PIB nominal (miles de millones de G.)]]*100</f>
        <v>0.2256788174149541</v>
      </c>
      <c r="CB156" s="56">
        <f>+Datos1[[#This Row],[ANANF acumulado por año]]/Datos1[[#This Row],[PIB nominal (miles de millones de G.)]]*100</f>
        <v>1.4403191663866346</v>
      </c>
      <c r="CC156" s="56">
        <f>+Datos1[[#This Row],[ANANF acumulado 12 meses]]/Datos1[[#This Row],[PIB nominal (miles de millones de G.)]]*100</f>
        <v>2.0774879060843574</v>
      </c>
      <c r="CD156" s="4">
        <v>326.32241260000012</v>
      </c>
      <c r="CE156" s="4">
        <f t="shared" si="146"/>
        <v>46.931773960575036</v>
      </c>
      <c r="CF156" s="4">
        <f t="shared" si="147"/>
        <v>98.474457807999897</v>
      </c>
      <c r="CG156" s="4">
        <f t="shared" si="148"/>
        <v>14.162622045823992</v>
      </c>
      <c r="CH156" s="56">
        <f t="shared" si="149"/>
        <v>-215.9241577439999</v>
      </c>
      <c r="CI156" s="56">
        <f>SUMIFS($CH$3:$CH156,$D$3:$D156,D156)</f>
        <v>-1570.9238420650004</v>
      </c>
      <c r="CJ156" s="56">
        <f t="shared" si="157"/>
        <v>-3224.4352715460009</v>
      </c>
      <c r="CK156" s="56">
        <f>Datos1[[#This Row],[Resultado Fiscal (miles de millones de G.)]]*1000/$F$207</f>
        <v>-31.054268332744449</v>
      </c>
      <c r="CL156" s="56">
        <f t="shared" si="165"/>
        <v>-463.73911650438151</v>
      </c>
      <c r="CM156" s="100">
        <f t="shared" si="180"/>
        <v>1.4236845613804001</v>
      </c>
      <c r="CN156" s="100">
        <f t="shared" si="181"/>
        <v>-13.866514455690309</v>
      </c>
      <c r="CO156" s="100">
        <f t="shared" si="187"/>
        <v>1.0316029762990615</v>
      </c>
      <c r="CP156" s="4">
        <f t="shared" si="150"/>
        <v>-0.11471249428976069</v>
      </c>
      <c r="CQ156" s="4">
        <f t="shared" si="158"/>
        <v>-1.7130228342187519</v>
      </c>
      <c r="CR156" s="73">
        <v>1123.7481077580001</v>
      </c>
      <c r="CS156" s="113">
        <f>SUM(Datos1[[#This Row],[FFPP]:[MTESS]])</f>
        <v>0</v>
      </c>
      <c r="CT156" s="113"/>
      <c r="CU156" s="113"/>
      <c r="CV156" s="113"/>
      <c r="CW156" s="113"/>
      <c r="CX156" s="113"/>
      <c r="CY156" s="113"/>
      <c r="CZ156" s="113"/>
    </row>
    <row r="157" spans="1:104">
      <c r="A157">
        <v>155</v>
      </c>
      <c r="B157" s="3">
        <v>42309</v>
      </c>
      <c r="C157" s="14" t="str">
        <f t="shared" si="132"/>
        <v>Noviembre</v>
      </c>
      <c r="D157" s="14">
        <f t="shared" si="151"/>
        <v>2015</v>
      </c>
      <c r="E157" s="15">
        <f t="shared" si="133"/>
        <v>188230.72332346055</v>
      </c>
      <c r="F157" s="15">
        <f t="shared" si="134"/>
        <v>5204.9208081108709</v>
      </c>
      <c r="G157" s="56">
        <v>2300.4276812950002</v>
      </c>
      <c r="H157" s="4">
        <f t="shared" si="152"/>
        <v>1.2221318819148805</v>
      </c>
      <c r="I157" s="4">
        <f>SUMIFS($G$3:$G157,$D$3:$D157,D157)</f>
        <v>23428.516214793999</v>
      </c>
      <c r="J157" s="2">
        <f t="shared" si="159"/>
        <v>26158.012745283999</v>
      </c>
      <c r="K157" s="95">
        <f t="shared" si="166"/>
        <v>6.6612516585065062E-2</v>
      </c>
      <c r="L157" s="95">
        <f t="shared" si="167"/>
        <v>0.1186469885756154</v>
      </c>
      <c r="M157" s="95">
        <f t="shared" si="182"/>
        <v>8.3648539896989726E-2</v>
      </c>
      <c r="N157" s="4">
        <v>1607.9201815440001</v>
      </c>
      <c r="O157" s="4">
        <f t="shared" si="135"/>
        <v>0.8542283391117339</v>
      </c>
      <c r="P157" s="4">
        <f>SUMIFS($N$3:$N157,$D$3:$D157,D157)</f>
        <v>16609.028596028002</v>
      </c>
      <c r="Q157" s="4">
        <f t="shared" si="155"/>
        <v>18052.561778066</v>
      </c>
      <c r="R157" s="97">
        <f t="shared" si="168"/>
        <v>7.3693977143050038E-3</v>
      </c>
      <c r="S157" s="97">
        <f t="shared" si="169"/>
        <v>3.5381191852080773E-2</v>
      </c>
      <c r="T157" s="97">
        <f t="shared" si="183"/>
        <v>4.6166558522920731E-2</v>
      </c>
      <c r="U157" s="4">
        <v>957.36973695699999</v>
      </c>
      <c r="V157" s="4">
        <f t="shared" si="160"/>
        <v>10192.497206821301</v>
      </c>
      <c r="W157" s="97">
        <f t="shared" si="188"/>
        <v>6.5688275332486556E-2</v>
      </c>
      <c r="X157" s="97">
        <f t="shared" si="170"/>
        <v>-3.355046499366432E-2</v>
      </c>
      <c r="Y157" s="4">
        <v>654.50088871000003</v>
      </c>
      <c r="Z157" s="4">
        <f t="shared" si="161"/>
        <v>7762.0721861630009</v>
      </c>
      <c r="AA157" s="97">
        <f t="shared" si="189"/>
        <v>1.322767879734621E-2</v>
      </c>
      <c r="AB157" s="97">
        <f t="shared" si="171"/>
        <v>1.0048158034686727E-2</v>
      </c>
      <c r="AC157" s="4">
        <v>116.181992925</v>
      </c>
      <c r="AD157" s="4">
        <f t="shared" si="136"/>
        <v>6.1723182524964247E-2</v>
      </c>
      <c r="AE157" s="4">
        <v>95.40535534</v>
      </c>
      <c r="AF157" s="4">
        <f t="shared" si="137"/>
        <v>5.0685325782897285E-2</v>
      </c>
      <c r="AG157" s="4">
        <v>480.92015148600007</v>
      </c>
      <c r="AH157" s="4">
        <f t="shared" si="138"/>
        <v>92.397208183567017</v>
      </c>
      <c r="AI157" s="4">
        <v>336.98818700100003</v>
      </c>
      <c r="AJ157" s="4">
        <f t="shared" si="139"/>
        <v>48.46572839941954</v>
      </c>
      <c r="AK157" s="101">
        <f>SUMIFS($AJ$3:$AJ157,$D$3:$D157,D157)</f>
        <v>406.3304313551655</v>
      </c>
      <c r="AL157" s="4">
        <v>28.055799999999998</v>
      </c>
      <c r="AM157" s="4">
        <f t="shared" si="140"/>
        <v>4.0349924278633527</v>
      </c>
      <c r="AN157" s="101">
        <f>SUMIFS($AM$3:$AM157,$D$3:$D157,D157)</f>
        <v>53.04762799643516</v>
      </c>
      <c r="AO157" s="4">
        <f t="shared" si="153"/>
        <v>115.87616448500003</v>
      </c>
      <c r="AP157" s="56">
        <v>1905.5470584150003</v>
      </c>
      <c r="AQ157" s="4">
        <f t="shared" si="141"/>
        <v>1.0123464569280003</v>
      </c>
      <c r="AR157" s="4">
        <f>SUMIFS($AP$3:$AP157,$D$3:$D157,D157)</f>
        <v>21893.436248923001</v>
      </c>
      <c r="AS157" s="4">
        <f t="shared" si="162"/>
        <v>25177.450520607999</v>
      </c>
      <c r="AT157" s="97">
        <f t="shared" si="172"/>
        <v>-2.5835732162030833E-2</v>
      </c>
      <c r="AU157" s="97">
        <f t="shared" si="173"/>
        <v>0.11424933510685475</v>
      </c>
      <c r="AV157" s="98">
        <f t="shared" si="184"/>
        <v>0.10345774694674548</v>
      </c>
      <c r="AW157" s="4">
        <v>1050.0927753690003</v>
      </c>
      <c r="AX157" s="4">
        <f>SUMIFS($AW$3:$AW157,$D$3:$D157,D157)</f>
        <v>11175.895688423003</v>
      </c>
      <c r="AY157" s="4">
        <f t="shared" si="163"/>
        <v>13080.962623884003</v>
      </c>
      <c r="AZ157" s="97">
        <f t="shared" si="174"/>
        <v>0.10070542172620267</v>
      </c>
      <c r="BA157" s="97">
        <f t="shared" si="175"/>
        <v>9.2879789001516722E-2</v>
      </c>
      <c r="BB157" s="97">
        <f t="shared" si="190"/>
        <v>8.9086746358483238E-2</v>
      </c>
      <c r="BC157" s="4">
        <v>696.34196122000003</v>
      </c>
      <c r="BD157" s="4">
        <f t="shared" si="154"/>
        <v>353.75081414900023</v>
      </c>
      <c r="BE157" s="4">
        <v>178.44320237300002</v>
      </c>
      <c r="BF157" s="4">
        <v>43.841144234000005</v>
      </c>
      <c r="BG157" s="4">
        <f t="shared" si="142"/>
        <v>6.3052447270459266</v>
      </c>
      <c r="BH157" s="4">
        <f>Datos1[[#This Row],[Intereses]]/Datos1[[#This Row],[PIB nominal (miles de millones de G.)]]*100</f>
        <v>2.32911734386008E-2</v>
      </c>
      <c r="BI157" s="4">
        <v>299.22473196700003</v>
      </c>
      <c r="BJ157" s="4">
        <v>290.30383565299996</v>
      </c>
      <c r="BK157" s="4">
        <v>43.641368819</v>
      </c>
      <c r="BL157" s="56">
        <f t="shared" si="143"/>
        <v>394.88062287999992</v>
      </c>
      <c r="BM157" s="56">
        <f>SUMIFS($BL$3:$BL157,$D$3:$D157,D157)</f>
        <v>1535.0799658709998</v>
      </c>
      <c r="BN157" s="56">
        <f t="shared" si="156"/>
        <v>980.56222467599946</v>
      </c>
      <c r="BO157" s="100">
        <f t="shared" si="176"/>
        <v>2.9348909105677397</v>
      </c>
      <c r="BP157" s="100">
        <f t="shared" si="177"/>
        <v>-0.33739994447171218</v>
      </c>
      <c r="BQ157" s="100">
        <f t="shared" si="185"/>
        <v>-0.25825446450152245</v>
      </c>
      <c r="BR157" s="2">
        <f t="shared" si="144"/>
        <v>0.20978542498687999</v>
      </c>
      <c r="BS157" s="2">
        <f>+Datos1[[#This Row],[RON acumulado 12 meses]]/Datos1[[#This Row],[PIB nominal (miles de millones de G.)]]*100</f>
        <v>0.52093633141438656</v>
      </c>
      <c r="BT157" s="56">
        <v>377.28028096799994</v>
      </c>
      <c r="BU157" s="56">
        <f>SUMIFS($BT$3:$BT157,$D$3:$D157,D157)</f>
        <v>3088.4034660239995</v>
      </c>
      <c r="BV157" s="56">
        <f t="shared" si="164"/>
        <v>3919.0834201770003</v>
      </c>
      <c r="BW157" s="100">
        <f t="shared" si="178"/>
        <v>2.3362272387289496E-2</v>
      </c>
      <c r="BX157" s="100">
        <f t="shared" si="179"/>
        <v>0.25393379820385875</v>
      </c>
      <c r="BY157" s="100">
        <f t="shared" si="186"/>
        <v>0.23894398130128214</v>
      </c>
      <c r="BZ157" s="56">
        <f t="shared" si="145"/>
        <v>54.260547797176983</v>
      </c>
      <c r="CA157" s="56">
        <f>Datos1[[#This Row],[Adquisición Neta de Activos no Financieros]]/Datos1[[#This Row],[PIB nominal (miles de millones de G.)]]*100</f>
        <v>0.20043501629628852</v>
      </c>
      <c r="CB157" s="56">
        <f>+Datos1[[#This Row],[ANANF acumulado por año]]/Datos1[[#This Row],[PIB nominal (miles de millones de G.)]]*100</f>
        <v>1.6407541826829231</v>
      </c>
      <c r="CC157" s="56">
        <f>+Datos1[[#This Row],[ANANF acumulado 12 meses]]/Datos1[[#This Row],[PIB nominal (miles de millones de G.)]]*100</f>
        <v>2.0820636243544288</v>
      </c>
      <c r="CD157" s="4">
        <v>244.79133388099999</v>
      </c>
      <c r="CE157" s="4">
        <f t="shared" si="146"/>
        <v>35.205953086934066</v>
      </c>
      <c r="CF157" s="4">
        <f t="shared" si="147"/>
        <v>132.48894708699996</v>
      </c>
      <c r="CG157" s="4">
        <f t="shared" si="148"/>
        <v>19.054594710242917</v>
      </c>
      <c r="CH157" s="56">
        <f t="shared" si="149"/>
        <v>17.600341911999976</v>
      </c>
      <c r="CI157" s="56">
        <f>SUMIFS($CH$3:$CH157,$D$3:$D157,D157)</f>
        <v>-1553.3235001530004</v>
      </c>
      <c r="CJ157" s="56">
        <f t="shared" si="157"/>
        <v>-2938.5211955010009</v>
      </c>
      <c r="CK157" s="56">
        <f>Datos1[[#This Row],[Resultado Fiscal (miles de millones de G.)]]*1000/$F$207</f>
        <v>2.5312857356669887</v>
      </c>
      <c r="CL157" s="56">
        <f t="shared" si="165"/>
        <v>-422.61887998069938</v>
      </c>
      <c r="CM157" s="100">
        <f t="shared" si="180"/>
        <v>-1.0655961274918402</v>
      </c>
      <c r="CN157" s="100">
        <f t="shared" si="181"/>
        <v>9.6232117071160523</v>
      </c>
      <c r="CO157" s="100">
        <f t="shared" si="187"/>
        <v>0.59591282977220006</v>
      </c>
      <c r="CP157" s="4">
        <f t="shared" si="150"/>
        <v>9.3504086905914358E-3</v>
      </c>
      <c r="CQ157" s="4">
        <f t="shared" si="158"/>
        <v>-1.5611272929400426</v>
      </c>
      <c r="CR157" s="73">
        <v>1138.5059858469999</v>
      </c>
      <c r="CS157" s="113">
        <f>SUM(Datos1[[#This Row],[FFPP]:[MTESS]])</f>
        <v>0</v>
      </c>
      <c r="CT157" s="113"/>
      <c r="CU157" s="113"/>
      <c r="CV157" s="113"/>
      <c r="CW157" s="113"/>
      <c r="CX157" s="113"/>
      <c r="CY157" s="113"/>
      <c r="CZ157" s="113"/>
    </row>
    <row r="158" spans="1:104">
      <c r="A158">
        <v>156</v>
      </c>
      <c r="B158" s="3">
        <v>42339</v>
      </c>
      <c r="C158" s="14" t="str">
        <f t="shared" si="132"/>
        <v>Diciembre</v>
      </c>
      <c r="D158" s="14">
        <f t="shared" si="151"/>
        <v>2015</v>
      </c>
      <c r="E158" s="15">
        <f t="shared" si="133"/>
        <v>188230.72332346055</v>
      </c>
      <c r="F158" s="15">
        <f t="shared" si="134"/>
        <v>5204.9208081108709</v>
      </c>
      <c r="G158" s="56">
        <v>3136.4019166419994</v>
      </c>
      <c r="H158" s="4">
        <f t="shared" si="152"/>
        <v>1.6662539787685591</v>
      </c>
      <c r="I158" s="4">
        <f>SUMIFS($G$3:$G158,$D$3:$D158,D158)</f>
        <v>26564.918131435999</v>
      </c>
      <c r="J158" s="2">
        <f t="shared" si="159"/>
        <v>26564.918131435999</v>
      </c>
      <c r="K158" s="95">
        <f t="shared" si="166"/>
        <v>7.5727242677363193E-2</v>
      </c>
      <c r="L158" s="95">
        <f t="shared" si="167"/>
        <v>0.14907708495198246</v>
      </c>
      <c r="M158" s="95">
        <f t="shared" si="182"/>
        <v>7.5727242677363193E-2</v>
      </c>
      <c r="N158" s="4">
        <v>1477.9739403059998</v>
      </c>
      <c r="O158" s="4">
        <f t="shared" si="135"/>
        <v>0.78519272210743796</v>
      </c>
      <c r="P158" s="4">
        <f>SUMIFS($N$3:$N158,$D$3:$D158,D158)</f>
        <v>18087.002536334003</v>
      </c>
      <c r="Q158" s="4">
        <f t="shared" si="155"/>
        <v>18087.002536334003</v>
      </c>
      <c r="R158" s="97">
        <f t="shared" si="168"/>
        <v>2.3858653681501085E-2</v>
      </c>
      <c r="S158" s="97">
        <f t="shared" si="169"/>
        <v>3.4429909594880792E-2</v>
      </c>
      <c r="T158" s="97">
        <f t="shared" si="183"/>
        <v>3.4429909594880792E-2</v>
      </c>
      <c r="U158" s="4">
        <v>687.56283835700003</v>
      </c>
      <c r="V158" s="4">
        <f t="shared" si="160"/>
        <v>10249.178751665302</v>
      </c>
      <c r="W158" s="97">
        <f t="shared" si="188"/>
        <v>5.7898084131637439E-2</v>
      </c>
      <c r="X158" s="97">
        <f t="shared" si="170"/>
        <v>8.984502382116033E-2</v>
      </c>
      <c r="Y158" s="4">
        <v>708.357389227</v>
      </c>
      <c r="Z158" s="4">
        <f t="shared" si="161"/>
        <v>7759.0863374510009</v>
      </c>
      <c r="AA158" s="97">
        <f t="shared" si="189"/>
        <v>4.8453882628538558E-3</v>
      </c>
      <c r="AB158" s="97">
        <f t="shared" si="171"/>
        <v>-4.1974795749107896E-3</v>
      </c>
      <c r="AC158" s="4">
        <v>562.23298731400007</v>
      </c>
      <c r="AD158" s="4">
        <f t="shared" si="136"/>
        <v>0.29869352748958222</v>
      </c>
      <c r="AE158" s="4">
        <v>368.251766003</v>
      </c>
      <c r="AF158" s="4">
        <f t="shared" si="137"/>
        <v>0.19563850125050342</v>
      </c>
      <c r="AG158" s="4">
        <v>727.94322301899979</v>
      </c>
      <c r="AH158" s="4">
        <f t="shared" si="138"/>
        <v>139.85673362880755</v>
      </c>
      <c r="AI158" s="4">
        <v>361.39938073500002</v>
      </c>
      <c r="AJ158" s="4">
        <f t="shared" si="139"/>
        <v>51.976552609450806</v>
      </c>
      <c r="AK158" s="101">
        <f>SUMIFS($AJ$3:$AJ158,$D$3:$D158,D158)</f>
        <v>458.30698396461628</v>
      </c>
      <c r="AL158" s="4">
        <v>220.66257999999999</v>
      </c>
      <c r="AM158" s="4">
        <f t="shared" si="140"/>
        <v>31.735749449767649</v>
      </c>
      <c r="AN158" s="101">
        <f>SUMIFS($AM$3:$AM158,$D$3:$D158,D158)</f>
        <v>84.783377446202806</v>
      </c>
      <c r="AO158" s="4">
        <f t="shared" si="153"/>
        <v>145.88126228399977</v>
      </c>
      <c r="AP158" s="56">
        <v>3445.4144045110002</v>
      </c>
      <c r="AQ158" s="4">
        <f t="shared" si="141"/>
        <v>1.8304208493054086</v>
      </c>
      <c r="AR158" s="4">
        <f>SUMIFS($AP$3:$AP158,$D$3:$D158,D158)</f>
        <v>25338.850653434001</v>
      </c>
      <c r="AS158" s="4">
        <f t="shared" si="162"/>
        <v>25338.850653434001</v>
      </c>
      <c r="AT158" s="97">
        <f t="shared" si="172"/>
        <v>4.9147208103692774E-2</v>
      </c>
      <c r="AU158" s="97">
        <f t="shared" si="173"/>
        <v>0.10492652791422441</v>
      </c>
      <c r="AV158" s="98">
        <f t="shared" si="184"/>
        <v>0.10492652791422441</v>
      </c>
      <c r="AW158" s="4">
        <v>2017.8795187320004</v>
      </c>
      <c r="AX158" s="4">
        <f>SUMIFS($AW$3:$AW158,$D$3:$D158,D158)</f>
        <v>13193.775207155004</v>
      </c>
      <c r="AY158" s="4">
        <f t="shared" si="163"/>
        <v>13193.775207155004</v>
      </c>
      <c r="AZ158" s="97">
        <f t="shared" si="174"/>
        <v>5.9217123121031223E-2</v>
      </c>
      <c r="BA158" s="97">
        <f t="shared" si="175"/>
        <v>8.7593434992811803E-2</v>
      </c>
      <c r="BB158" s="97">
        <f t="shared" si="190"/>
        <v>8.7593434992811803E-2</v>
      </c>
      <c r="BC158" s="4">
        <v>697.21218537200002</v>
      </c>
      <c r="BD158" s="4">
        <f t="shared" si="154"/>
        <v>1320.6673333600004</v>
      </c>
      <c r="BE158" s="4">
        <v>208.79845698099999</v>
      </c>
      <c r="BF158" s="4">
        <v>28.180372777999999</v>
      </c>
      <c r="BG158" s="4">
        <f t="shared" si="142"/>
        <v>4.0529085170836883</v>
      </c>
      <c r="BH158" s="4">
        <f>Datos1[[#This Row],[Intereses]]/Datos1[[#This Row],[PIB nominal (miles de millones de G.)]]*100</f>
        <v>1.4971186573816707E-2</v>
      </c>
      <c r="BI158" s="4">
        <v>615.04317056899993</v>
      </c>
      <c r="BJ158" s="4">
        <v>508.01586128700001</v>
      </c>
      <c r="BK158" s="4">
        <v>67.49702416400001</v>
      </c>
      <c r="BL158" s="56">
        <f t="shared" si="143"/>
        <v>-309.01248786900078</v>
      </c>
      <c r="BM158" s="56">
        <f>SUMIFS($BL$3:$BL158,$D$3:$D158,D158)</f>
        <v>1226.067478001999</v>
      </c>
      <c r="BN158" s="56">
        <f t="shared" si="156"/>
        <v>1226.067478001999</v>
      </c>
      <c r="BO158" s="100">
        <f t="shared" si="176"/>
        <v>-0.44273651695422633</v>
      </c>
      <c r="BP158" s="100">
        <f t="shared" si="177"/>
        <v>-0.30425395389412202</v>
      </c>
      <c r="BQ158" s="100">
        <f t="shared" si="185"/>
        <v>-0.30425395389412202</v>
      </c>
      <c r="BR158" s="2">
        <f t="shared" si="144"/>
        <v>-0.16416687053684945</v>
      </c>
      <c r="BS158" s="2">
        <f>+Datos1[[#This Row],[RON acumulado 12 meses]]/Datos1[[#This Row],[PIB nominal (miles de millones de G.)]]*100</f>
        <v>0.65136416433734512</v>
      </c>
      <c r="BT158" s="56">
        <v>660.59117247099994</v>
      </c>
      <c r="BU158" s="56">
        <f>SUMIFS($BT$3:$BT158,$D$3:$D158,D158)</f>
        <v>3748.9946384949994</v>
      </c>
      <c r="BV158" s="56">
        <f t="shared" si="164"/>
        <v>3748.9946384949994</v>
      </c>
      <c r="BW158" s="100">
        <f t="shared" si="178"/>
        <v>-0.20475850034858545</v>
      </c>
      <c r="BX158" s="100">
        <f t="shared" si="179"/>
        <v>0.13824867516691164</v>
      </c>
      <c r="BY158" s="100">
        <f t="shared" si="186"/>
        <v>0.13824867516691164</v>
      </c>
      <c r="BZ158" s="56">
        <f t="shared" si="145"/>
        <v>95.006393645301813</v>
      </c>
      <c r="CA158" s="56">
        <f>Datos1[[#This Row],[Adquisición Neta de Activos no Financieros]]/Datos1[[#This Row],[PIB nominal (miles de millones de G.)]]*100</f>
        <v>0.35094758220517647</v>
      </c>
      <c r="CB158" s="56">
        <f>+Datos1[[#This Row],[ANANF acumulado por año]]/Datos1[[#This Row],[PIB nominal (miles de millones de G.)]]*100</f>
        <v>1.9917017648880997</v>
      </c>
      <c r="CC158" s="56">
        <f>+Datos1[[#This Row],[ANANF acumulado 12 meses]]/Datos1[[#This Row],[PIB nominal (miles de millones de G.)]]*100</f>
        <v>1.9917017648880997</v>
      </c>
      <c r="CD158" s="4">
        <v>311.321252797</v>
      </c>
      <c r="CE158" s="4">
        <f t="shared" si="146"/>
        <v>44.774303269513879</v>
      </c>
      <c r="CF158" s="4">
        <f t="shared" si="147"/>
        <v>349.26991967399994</v>
      </c>
      <c r="CG158" s="4">
        <f t="shared" si="148"/>
        <v>50.232090375787934</v>
      </c>
      <c r="CH158" s="56">
        <f t="shared" si="149"/>
        <v>-969.60366034000072</v>
      </c>
      <c r="CI158" s="56">
        <f>SUMIFS($CH$3:$CH158,$D$3:$D158,D158)</f>
        <v>-2522.9271604930009</v>
      </c>
      <c r="CJ158" s="56">
        <f t="shared" si="157"/>
        <v>-2522.9271604930009</v>
      </c>
      <c r="CK158" s="56">
        <f>Datos1[[#This Row],[Resultado Fiscal (miles de millones de G.)]]*1000/$F$207</f>
        <v>-139.44864974445545</v>
      </c>
      <c r="CL158" s="56">
        <f t="shared" si="165"/>
        <v>-362.84803814683767</v>
      </c>
      <c r="CM158" s="100">
        <f t="shared" si="180"/>
        <v>-0.30002506963714715</v>
      </c>
      <c r="CN158" s="100">
        <f t="shared" si="181"/>
        <v>0.64744573494562996</v>
      </c>
      <c r="CO158" s="100">
        <f t="shared" si="187"/>
        <v>0.64744573494562996</v>
      </c>
      <c r="CP158" s="4">
        <f t="shared" si="150"/>
        <v>-0.51511445274202594</v>
      </c>
      <c r="CQ158" s="4">
        <f t="shared" si="158"/>
        <v>-1.3403376005507548</v>
      </c>
      <c r="CR158" s="73">
        <v>2154.6457182180002</v>
      </c>
      <c r="CS158" s="113">
        <f>SUM(Datos1[[#This Row],[FFPP]:[MTESS]])</f>
        <v>0</v>
      </c>
      <c r="CT158" s="113"/>
      <c r="CU158" s="113"/>
      <c r="CV158" s="113"/>
      <c r="CW158" s="113"/>
      <c r="CX158" s="113"/>
      <c r="CY158" s="113"/>
      <c r="CZ158" s="113"/>
    </row>
    <row r="159" spans="1:104">
      <c r="A159">
        <v>157</v>
      </c>
      <c r="B159" s="76">
        <v>42370</v>
      </c>
      <c r="C159" s="14" t="str">
        <f t="shared" si="132"/>
        <v>Enero</v>
      </c>
      <c r="D159" s="14">
        <f t="shared" si="151"/>
        <v>2016</v>
      </c>
      <c r="E159" s="15">
        <f t="shared" si="133"/>
        <v>204447.2782764174</v>
      </c>
      <c r="F159" s="15">
        <f t="shared" si="134"/>
        <v>5670.5408979978356</v>
      </c>
      <c r="G159" s="56">
        <v>2104.3460953160002</v>
      </c>
      <c r="H159" s="4">
        <f t="shared" si="152"/>
        <v>1.0292854534707359</v>
      </c>
      <c r="I159" s="4">
        <f>SUMIFS($G$3:$G159,$D$3:$D159,D159)</f>
        <v>2104.3460953160002</v>
      </c>
      <c r="J159" s="2">
        <f t="shared" si="159"/>
        <v>26836.369105146001</v>
      </c>
      <c r="K159" s="95">
        <f t="shared" si="166"/>
        <v>0.14809956691474646</v>
      </c>
      <c r="L159" s="95">
        <f t="shared" si="167"/>
        <v>0.14809956691474646</v>
      </c>
      <c r="M159" s="95">
        <f t="shared" si="182"/>
        <v>8.0075381101618159E-2</v>
      </c>
      <c r="N159" s="4">
        <v>1480.6029829730003</v>
      </c>
      <c r="O159" s="4">
        <f t="shared" si="135"/>
        <v>0.72419794259681514</v>
      </c>
      <c r="P159" s="4">
        <f>SUMIFS($N$3:$N159,$D$3:$D159,D159)</f>
        <v>1480.6029829730003</v>
      </c>
      <c r="Q159" s="4">
        <f t="shared" si="155"/>
        <v>18154.877708507003</v>
      </c>
      <c r="R159" s="97">
        <f t="shared" si="168"/>
        <v>4.8045470368820675E-2</v>
      </c>
      <c r="S159" s="97">
        <f t="shared" si="169"/>
        <v>4.8045470368820675E-2</v>
      </c>
      <c r="T159" s="97">
        <f t="shared" si="183"/>
        <v>3.1962539941321699E-2</v>
      </c>
      <c r="U159" s="4">
        <v>867.40957651899998</v>
      </c>
      <c r="V159" s="4">
        <f t="shared" si="160"/>
        <v>10329.734832136299</v>
      </c>
      <c r="W159" s="97">
        <f t="shared" si="188"/>
        <v>5.8475601379168518E-2</v>
      </c>
      <c r="X159" s="97">
        <f t="shared" si="170"/>
        <v>0.1023774830709856</v>
      </c>
      <c r="Y159" s="4">
        <v>626.11145028699991</v>
      </c>
      <c r="Z159" s="4">
        <f t="shared" si="161"/>
        <v>7784.5799506220001</v>
      </c>
      <c r="AA159" s="97">
        <f t="shared" si="189"/>
        <v>5.3667115893716311E-3</v>
      </c>
      <c r="AB159" s="97">
        <f t="shared" si="171"/>
        <v>4.2445647790636976E-2</v>
      </c>
      <c r="AC159" s="4">
        <v>167.33217487799999</v>
      </c>
      <c r="AD159" s="4">
        <f t="shared" si="136"/>
        <v>8.1846124971036827E-2</v>
      </c>
      <c r="AE159" s="4">
        <v>13.494319379999999</v>
      </c>
      <c r="AF159" s="4">
        <f t="shared" si="137"/>
        <v>6.6003908165289289E-3</v>
      </c>
      <c r="AG159" s="4">
        <v>442.91661808499993</v>
      </c>
      <c r="AH159" s="4">
        <f t="shared" si="138"/>
        <v>78.108354397264932</v>
      </c>
      <c r="AI159" s="4">
        <v>343.91728193699998</v>
      </c>
      <c r="AJ159" s="4">
        <f t="shared" si="139"/>
        <v>49.46227262908706</v>
      </c>
      <c r="AK159" s="101">
        <f>SUMIFS($AJ$3:$AJ159,$D$3:$D159,D159)</f>
        <v>49.46227262908706</v>
      </c>
      <c r="AL159" s="4">
        <v>0</v>
      </c>
      <c r="AM159" s="4">
        <f t="shared" si="140"/>
        <v>0</v>
      </c>
      <c r="AN159" s="101">
        <f>SUMIFS($AM$3:$AM159,$D$3:$D159,D159)</f>
        <v>0</v>
      </c>
      <c r="AO159" s="4">
        <f t="shared" si="153"/>
        <v>98.999336147999941</v>
      </c>
      <c r="AP159" s="56">
        <v>1964.4841594950001</v>
      </c>
      <c r="AQ159" s="4">
        <f t="shared" si="141"/>
        <v>0.96087567223026205</v>
      </c>
      <c r="AR159" s="4">
        <f>SUMIFS($AP$3:$AP159,$D$3:$D159,D159)</f>
        <v>1964.4841594950001</v>
      </c>
      <c r="AS159" s="4">
        <f t="shared" si="162"/>
        <v>25757.448669827001</v>
      </c>
      <c r="AT159" s="97">
        <f t="shared" si="172"/>
        <v>0.27078191900538973</v>
      </c>
      <c r="AU159" s="97">
        <f t="shared" si="173"/>
        <v>0.27078191900538973</v>
      </c>
      <c r="AV159" s="98">
        <f t="shared" si="184"/>
        <v>0.11371759934123848</v>
      </c>
      <c r="AW159" s="4">
        <v>963.42533363900009</v>
      </c>
      <c r="AX159" s="4">
        <f>SUMIFS($AW$3:$AW159,$D$3:$D159,D159)</f>
        <v>963.42533363900009</v>
      </c>
      <c r="AY159" s="4">
        <f t="shared" si="163"/>
        <v>13207.595181445004</v>
      </c>
      <c r="AZ159" s="97">
        <f t="shared" si="174"/>
        <v>1.4553386998020112E-2</v>
      </c>
      <c r="BA159" s="97">
        <f t="shared" si="175"/>
        <v>1.4553386998020112E-2</v>
      </c>
      <c r="BB159" s="97">
        <f t="shared" si="190"/>
        <v>8.0512674734218859E-2</v>
      </c>
      <c r="BC159" s="4">
        <v>687.98404972599997</v>
      </c>
      <c r="BD159" s="4">
        <f t="shared" si="154"/>
        <v>275.44128391300012</v>
      </c>
      <c r="BE159" s="4">
        <v>109.554978343</v>
      </c>
      <c r="BF159" s="4">
        <v>335.84208395999997</v>
      </c>
      <c r="BG159" s="4">
        <f t="shared" si="142"/>
        <v>48.30089556300117</v>
      </c>
      <c r="BH159" s="4">
        <f>Datos1[[#This Row],[Intereses]]/Datos1[[#This Row],[PIB nominal (miles de millones de G.)]]*100</f>
        <v>0.16426830760052172</v>
      </c>
      <c r="BI159" s="4">
        <v>255.85564789399999</v>
      </c>
      <c r="BJ159" s="4">
        <v>275.85550780300002</v>
      </c>
      <c r="BK159" s="4">
        <v>23.950607856000005</v>
      </c>
      <c r="BL159" s="56">
        <f t="shared" si="143"/>
        <v>139.86193582100009</v>
      </c>
      <c r="BM159" s="56">
        <f>SUMIFS($BL$3:$BL159,$D$3:$D159,D159)</f>
        <v>139.86193582100009</v>
      </c>
      <c r="BN159" s="56">
        <f t="shared" si="156"/>
        <v>1078.9204353189991</v>
      </c>
      <c r="BO159" s="100">
        <f t="shared" si="176"/>
        <v>-0.51269142676297541</v>
      </c>
      <c r="BP159" s="100">
        <f t="shared" si="177"/>
        <v>-0.51269142676297541</v>
      </c>
      <c r="BQ159" s="100">
        <f t="shared" si="185"/>
        <v>-0.37246716747499642</v>
      </c>
      <c r="BR159" s="2">
        <f t="shared" si="144"/>
        <v>6.8409781240473908E-2</v>
      </c>
      <c r="BS159" s="2">
        <f>+Datos1[[#This Row],[RON acumulado 12 meses]]/Datos1[[#This Row],[PIB nominal (miles de millones de G.)]]*100</f>
        <v>0.527725506749116</v>
      </c>
      <c r="BT159" s="56">
        <v>36.879908792000002</v>
      </c>
      <c r="BU159" s="56">
        <f>SUMIFS($BT$3:$BT159,$D$3:$D159,D159)</f>
        <v>36.879908792000002</v>
      </c>
      <c r="BV159" s="56">
        <f t="shared" si="164"/>
        <v>3716.6107404949998</v>
      </c>
      <c r="BW159" s="100">
        <f t="shared" si="178"/>
        <v>-0.46754429910630257</v>
      </c>
      <c r="BX159" s="100">
        <f t="shared" si="179"/>
        <v>-0.46754429910630257</v>
      </c>
      <c r="BY159" s="100">
        <f t="shared" si="186"/>
        <v>0.12285336949422154</v>
      </c>
      <c r="BZ159" s="56">
        <f t="shared" si="145"/>
        <v>5.3040780414748854</v>
      </c>
      <c r="CA159" s="56">
        <f>Datos1[[#This Row],[Adquisición Neta de Activos no Financieros]]/Datos1[[#This Row],[PIB nominal (miles de millones de G.)]]*100</f>
        <v>1.8038835783442182E-2</v>
      </c>
      <c r="CB159" s="56">
        <f>+Datos1[[#This Row],[ANANF acumulado por año]]/Datos1[[#This Row],[PIB nominal (miles de millones de G.)]]*100</f>
        <v>1.8038835783442182E-2</v>
      </c>
      <c r="CC159" s="56">
        <f>+Datos1[[#This Row],[ANANF acumulado 12 meses]]/Datos1[[#This Row],[PIB nominal (miles de millones de G.)]]*100</f>
        <v>1.8178822295056709</v>
      </c>
      <c r="CD159" s="4">
        <v>29.458927858999999</v>
      </c>
      <c r="CE159" s="4">
        <f t="shared" si="146"/>
        <v>4.2367906402254709</v>
      </c>
      <c r="CF159" s="4">
        <f t="shared" si="147"/>
        <v>7.4209809330000027</v>
      </c>
      <c r="CG159" s="4">
        <f t="shared" si="148"/>
        <v>1.0672874012494147</v>
      </c>
      <c r="CH159" s="56">
        <f t="shared" si="149"/>
        <v>102.98202702900008</v>
      </c>
      <c r="CI159" s="56">
        <f>SUMIFS($CH$3:$CH159,$D$3:$D159,D159)</f>
        <v>102.98202702900008</v>
      </c>
      <c r="CJ159" s="56">
        <f t="shared" si="157"/>
        <v>-2637.6903051760009</v>
      </c>
      <c r="CK159" s="56">
        <f>Datos1[[#This Row],[Resultado Fiscal (miles de millones de G.)]]*1000/$F$207</f>
        <v>14.810901819518048</v>
      </c>
      <c r="CL159" s="56">
        <f t="shared" si="165"/>
        <v>-379.35330336093568</v>
      </c>
      <c r="CM159" s="100">
        <f t="shared" si="180"/>
        <v>-0.52705253476201541</v>
      </c>
      <c r="CN159" s="100">
        <f t="shared" si="181"/>
        <v>-0.52705253476201541</v>
      </c>
      <c r="CO159" s="100">
        <f t="shared" si="187"/>
        <v>0.65823155793518118</v>
      </c>
      <c r="CP159" s="4">
        <f t="shared" si="150"/>
        <v>5.0370945457031725E-2</v>
      </c>
      <c r="CQ159" s="4">
        <f t="shared" si="158"/>
        <v>-1.2901567227565549</v>
      </c>
      <c r="CR159" s="73">
        <v>1078.573615044</v>
      </c>
      <c r="CS159" s="113">
        <f>SUM(Datos1[[#This Row],[FFPP]:[MTESS]])</f>
        <v>0</v>
      </c>
      <c r="CT159" s="113"/>
      <c r="CU159" s="113"/>
      <c r="CV159" s="113"/>
      <c r="CW159" s="113"/>
      <c r="CX159" s="113"/>
      <c r="CY159" s="113"/>
      <c r="CZ159" s="113"/>
    </row>
    <row r="160" spans="1:104">
      <c r="A160">
        <v>158</v>
      </c>
      <c r="B160" s="3">
        <v>42401</v>
      </c>
      <c r="C160" s="14" t="str">
        <f t="shared" si="132"/>
        <v>Febrero</v>
      </c>
      <c r="D160" s="14">
        <f t="shared" si="151"/>
        <v>2016</v>
      </c>
      <c r="E160" s="15">
        <f t="shared" si="133"/>
        <v>204447.2782764174</v>
      </c>
      <c r="F160" s="15">
        <f t="shared" si="134"/>
        <v>5670.5408979978356</v>
      </c>
      <c r="G160" s="56">
        <v>2306.6031194690004</v>
      </c>
      <c r="H160" s="4">
        <f t="shared" si="152"/>
        <v>1.1282141483685688</v>
      </c>
      <c r="I160" s="4">
        <f>SUMIFS($G$3:$G160,$D$3:$D160,D160)</f>
        <v>4410.9492147850005</v>
      </c>
      <c r="J160" s="2">
        <f t="shared" si="159"/>
        <v>27212.420782107001</v>
      </c>
      <c r="K160" s="95">
        <f t="shared" si="166"/>
        <v>0.17205044356022015</v>
      </c>
      <c r="L160" s="95">
        <f t="shared" si="167"/>
        <v>0.19478977284980692</v>
      </c>
      <c r="M160" s="95">
        <f t="shared" si="182"/>
        <v>8.9380720674048897E-2</v>
      </c>
      <c r="N160" s="4">
        <v>1174.9446919240002</v>
      </c>
      <c r="O160" s="4">
        <f t="shared" si="135"/>
        <v>0.57469324210589301</v>
      </c>
      <c r="P160" s="4">
        <f>SUMIFS($N$3:$N160,$D$3:$D160,D160)</f>
        <v>2655.5476748970004</v>
      </c>
      <c r="Q160" s="4">
        <f t="shared" si="155"/>
        <v>18206.771634881999</v>
      </c>
      <c r="R160" s="97">
        <f t="shared" si="168"/>
        <v>4.6207996972988274E-2</v>
      </c>
      <c r="S160" s="97">
        <f t="shared" si="169"/>
        <v>4.7231686419735963E-2</v>
      </c>
      <c r="T160" s="97">
        <f t="shared" si="183"/>
        <v>3.0381885033412992E-2</v>
      </c>
      <c r="U160" s="4">
        <v>684.45120120599995</v>
      </c>
      <c r="V160" s="4">
        <f t="shared" si="160"/>
        <v>10430.303508732299</v>
      </c>
      <c r="W160" s="97">
        <f t="shared" si="188"/>
        <v>5.8225768279428047E-2</v>
      </c>
      <c r="X160" s="97">
        <f t="shared" si="170"/>
        <v>0.17224128545921791</v>
      </c>
      <c r="Y160" s="4">
        <v>576.88448399200001</v>
      </c>
      <c r="Z160" s="4">
        <f t="shared" si="161"/>
        <v>7772.1967299239996</v>
      </c>
      <c r="AA160" s="97">
        <f t="shared" si="189"/>
        <v>3.3331766496591531E-3</v>
      </c>
      <c r="AB160" s="97">
        <f t="shared" si="171"/>
        <v>-2.1014592517868524E-2</v>
      </c>
      <c r="AC160" s="4">
        <v>513.92214080899998</v>
      </c>
      <c r="AD160" s="4">
        <f t="shared" si="136"/>
        <v>0.2513714758844407</v>
      </c>
      <c r="AE160" s="4">
        <v>58.618505891999995</v>
      </c>
      <c r="AF160" s="4">
        <f t="shared" si="137"/>
        <v>2.8671697850996301E-2</v>
      </c>
      <c r="AG160" s="4">
        <v>559.11778084399998</v>
      </c>
      <c r="AH160" s="4">
        <f t="shared" si="138"/>
        <v>98.60043175800287</v>
      </c>
      <c r="AI160" s="4">
        <v>111.39789541499999</v>
      </c>
      <c r="AJ160" s="4">
        <f t="shared" si="139"/>
        <v>16.021274192125645</v>
      </c>
      <c r="AK160" s="101">
        <f>SUMIFS($AJ$3:$AJ160,$D$3:$D160,D160)</f>
        <v>65.483546821212713</v>
      </c>
      <c r="AL160" s="4">
        <v>0</v>
      </c>
      <c r="AM160" s="4">
        <f t="shared" si="140"/>
        <v>0</v>
      </c>
      <c r="AN160" s="101">
        <f>SUMIFS($AM$3:$AM160,$D$3:$D160,D160)</f>
        <v>0</v>
      </c>
      <c r="AO160" s="4">
        <f t="shared" si="153"/>
        <v>447.71988542899999</v>
      </c>
      <c r="AP160" s="56">
        <v>2220.6561107080001</v>
      </c>
      <c r="AQ160" s="4">
        <f t="shared" si="141"/>
        <v>1.0861754333093259</v>
      </c>
      <c r="AR160" s="4">
        <f>SUMIFS($AP$3:$AP160,$D$3:$D160,D160)</f>
        <v>4185.140270203</v>
      </c>
      <c r="AS160" s="4">
        <f t="shared" si="162"/>
        <v>25946.890530354005</v>
      </c>
      <c r="AT160" s="97">
        <f t="shared" si="172"/>
        <v>9.3265326643961366E-2</v>
      </c>
      <c r="AU160" s="97">
        <f t="shared" si="173"/>
        <v>0.16998121664736154</v>
      </c>
      <c r="AV160" s="98">
        <f t="shared" si="184"/>
        <v>0.10751645290546841</v>
      </c>
      <c r="AW160" s="4">
        <v>993.1918995489998</v>
      </c>
      <c r="AX160" s="4">
        <f>SUMIFS($AW$3:$AW160,$D$3:$D160,D160)</f>
        <v>1956.6172331879998</v>
      </c>
      <c r="AY160" s="4">
        <f t="shared" si="163"/>
        <v>13202.655501382002</v>
      </c>
      <c r="AZ160" s="97">
        <f t="shared" si="174"/>
        <v>-4.9489267386173541E-3</v>
      </c>
      <c r="BA160" s="97">
        <f t="shared" si="175"/>
        <v>4.5592882947205204E-3</v>
      </c>
      <c r="BB160" s="97">
        <f t="shared" si="190"/>
        <v>7.0593985636330014E-2</v>
      </c>
      <c r="BC160" s="4">
        <v>690.50206078999997</v>
      </c>
      <c r="BD160" s="4">
        <f t="shared" si="154"/>
        <v>302.68983875899983</v>
      </c>
      <c r="BE160" s="4">
        <v>307.56689886499998</v>
      </c>
      <c r="BF160" s="4">
        <v>41.321143781000004</v>
      </c>
      <c r="BG160" s="4">
        <f t="shared" si="142"/>
        <v>5.9428176087293139</v>
      </c>
      <c r="BH160" s="4">
        <f>Datos1[[#This Row],[Intereses]]/Datos1[[#This Row],[PIB nominal (miles de millones de G.)]]*100</f>
        <v>2.021114887385924E-2</v>
      </c>
      <c r="BI160" s="4">
        <v>576.48235894000004</v>
      </c>
      <c r="BJ160" s="4">
        <v>289.79147610899997</v>
      </c>
      <c r="BK160" s="4">
        <v>12.302333464</v>
      </c>
      <c r="BL160" s="56">
        <f t="shared" si="143"/>
        <v>85.947008761000234</v>
      </c>
      <c r="BM160" s="56">
        <f>SUMIFS($BL$3:$BL160,$D$3:$D160,D160)</f>
        <v>225.80894458200032</v>
      </c>
      <c r="BN160" s="56">
        <f t="shared" si="156"/>
        <v>1265.5302517529994</v>
      </c>
      <c r="BO160" s="100">
        <f t="shared" si="176"/>
        <v>-1.8538109630340964</v>
      </c>
      <c r="BP160" s="100">
        <f t="shared" si="177"/>
        <v>0.21177131558442275</v>
      </c>
      <c r="BQ160" s="100">
        <f t="shared" si="185"/>
        <v>-0.18443400762889972</v>
      </c>
      <c r="BR160" s="2">
        <f t="shared" si="144"/>
        <v>4.2038715059242761E-2</v>
      </c>
      <c r="BS160" s="2">
        <f>+Datos1[[#This Row],[RON acumulado 12 meses]]/Datos1[[#This Row],[PIB nominal (miles de millones de G.)]]*100</f>
        <v>0.61900078221729793</v>
      </c>
      <c r="BT160" s="56">
        <v>214.13003094599998</v>
      </c>
      <c r="BU160" s="56">
        <f>SUMIFS($BT$3:$BT160,$D$3:$D160,D160)</f>
        <v>251.00993973799999</v>
      </c>
      <c r="BV160" s="56">
        <f t="shared" si="164"/>
        <v>3666.750670807</v>
      </c>
      <c r="BW160" s="100">
        <f t="shared" si="178"/>
        <v>-0.18887098254160217</v>
      </c>
      <c r="BX160" s="100">
        <f t="shared" si="179"/>
        <v>-0.24679070779166334</v>
      </c>
      <c r="BY160" s="100">
        <f t="shared" si="186"/>
        <v>4.2322810122055632E-2</v>
      </c>
      <c r="BZ160" s="56">
        <f t="shared" si="145"/>
        <v>30.796236551631225</v>
      </c>
      <c r="CA160" s="56">
        <f>Datos1[[#This Row],[Adquisición Neta de Activos no Financieros]]/Datos1[[#This Row],[PIB nominal (miles de millones de G.)]]*100</f>
        <v>0.10473606337595323</v>
      </c>
      <c r="CB160" s="56">
        <f>+Datos1[[#This Row],[ANANF acumulado por año]]/Datos1[[#This Row],[PIB nominal (miles de millones de G.)]]*100</f>
        <v>0.12277489915939542</v>
      </c>
      <c r="CC160" s="56">
        <f>+Datos1[[#This Row],[ANANF acumulado 12 meses]]/Datos1[[#This Row],[PIB nominal (miles de millones de G.)]]*100</f>
        <v>1.7934944899826297</v>
      </c>
      <c r="CD160" s="4">
        <v>182.79470340800003</v>
      </c>
      <c r="CE160" s="4">
        <f t="shared" si="146"/>
        <v>26.28958162322256</v>
      </c>
      <c r="CF160" s="4">
        <f t="shared" si="147"/>
        <v>31.335327537999945</v>
      </c>
      <c r="CG160" s="4">
        <f t="shared" si="148"/>
        <v>4.506654928408663</v>
      </c>
      <c r="CH160" s="56">
        <f t="shared" si="149"/>
        <v>-128.18302218499974</v>
      </c>
      <c r="CI160" s="56">
        <f>SUMIFS($CH$3:$CH160,$D$3:$D160,D160)</f>
        <v>-25.200995155999664</v>
      </c>
      <c r="CJ160" s="56">
        <f t="shared" si="157"/>
        <v>-2401.2204190540006</v>
      </c>
      <c r="CK160" s="56">
        <f>Datos1[[#This Row],[Resultado Fiscal (miles de millones de G.)]]*1000/$F$207</f>
        <v>-18.435315474772207</v>
      </c>
      <c r="CL160" s="56">
        <f t="shared" si="165"/>
        <v>-345.34414304756086</v>
      </c>
      <c r="CM160" s="100">
        <f t="shared" si="180"/>
        <v>-0.64847936417092034</v>
      </c>
      <c r="CN160" s="100">
        <f t="shared" si="181"/>
        <v>-0.8284569911693993</v>
      </c>
      <c r="CO160" s="100">
        <f t="shared" si="187"/>
        <v>0.22128378640502144</v>
      </c>
      <c r="CP160" s="4">
        <f t="shared" si="150"/>
        <v>-6.2697348316710463E-2</v>
      </c>
      <c r="CQ160" s="4">
        <f t="shared" si="158"/>
        <v>-1.1744937077653319</v>
      </c>
      <c r="CR160" s="73">
        <v>1136.1814407270001</v>
      </c>
      <c r="CS160" s="113">
        <f>SUM(Datos1[[#This Row],[FFPP]:[MTESS]])</f>
        <v>0</v>
      </c>
      <c r="CT160" s="113"/>
      <c r="CU160" s="113"/>
      <c r="CV160" s="113"/>
      <c r="CW160" s="113"/>
      <c r="CX160" s="113"/>
      <c r="CY160" s="113"/>
      <c r="CZ160" s="113"/>
    </row>
    <row r="161" spans="1:104">
      <c r="A161">
        <v>159</v>
      </c>
      <c r="B161" s="3">
        <v>42430</v>
      </c>
      <c r="C161" s="14" t="str">
        <f t="shared" si="132"/>
        <v>Marzo</v>
      </c>
      <c r="D161" s="14">
        <f t="shared" si="151"/>
        <v>2016</v>
      </c>
      <c r="E161" s="15">
        <f t="shared" si="133"/>
        <v>204447.2782764174</v>
      </c>
      <c r="F161" s="15">
        <f t="shared" si="134"/>
        <v>5670.5408979978356</v>
      </c>
      <c r="G161" s="56">
        <v>1934.983097631</v>
      </c>
      <c r="H161" s="4">
        <f t="shared" si="152"/>
        <v>0.94644600502573495</v>
      </c>
      <c r="I161" s="4">
        <f>SUMIFS($G$3:$G161,$D$3:$D161,D161)</f>
        <v>6345.9323124160001</v>
      </c>
      <c r="J161" s="2">
        <f t="shared" si="159"/>
        <v>27258.850828675</v>
      </c>
      <c r="K161" s="95">
        <f t="shared" si="166"/>
        <v>0.12277649407045632</v>
      </c>
      <c r="L161" s="95">
        <f t="shared" si="167"/>
        <v>2.458498401295417E-2</v>
      </c>
      <c r="M161" s="95">
        <f t="shared" si="182"/>
        <v>8.2728005770891011E-2</v>
      </c>
      <c r="N161" s="4">
        <v>1430.0887423899999</v>
      </c>
      <c r="O161" s="4">
        <f t="shared" si="135"/>
        <v>0.69949023261463383</v>
      </c>
      <c r="P161" s="4">
        <f>SUMIFS($N$3:$N161,$D$3:$D161,D161)</f>
        <v>4085.6364172870003</v>
      </c>
      <c r="Q161" s="4">
        <f t="shared" si="155"/>
        <v>18226.055760722</v>
      </c>
      <c r="R161" s="97">
        <f t="shared" si="168"/>
        <v>1.3668884843287099E-2</v>
      </c>
      <c r="S161" s="97">
        <f t="shared" si="169"/>
        <v>3.523382571491096E-2</v>
      </c>
      <c r="T161" s="97">
        <f t="shared" si="183"/>
        <v>2.1949032433264293E-2</v>
      </c>
      <c r="U161" s="4">
        <v>810.79264540700001</v>
      </c>
      <c r="V161" s="4">
        <f t="shared" si="160"/>
        <v>10518.946351419301</v>
      </c>
      <c r="W161" s="97">
        <f t="shared" si="188"/>
        <v>5.9531477249261666E-2</v>
      </c>
      <c r="X161" s="97">
        <f t="shared" si="170"/>
        <v>0.1227485521052889</v>
      </c>
      <c r="Y161" s="4">
        <v>577.56757059699987</v>
      </c>
      <c r="Z161" s="4">
        <f t="shared" si="161"/>
        <v>7715.702707255</v>
      </c>
      <c r="AA161" s="97">
        <f t="shared" si="189"/>
        <v>-9.7148489576969199E-3</v>
      </c>
      <c r="AB161" s="97">
        <f t="shared" si="171"/>
        <v>-8.9098635320275288E-2</v>
      </c>
      <c r="AC161" s="4">
        <v>89.306564304000005</v>
      </c>
      <c r="AD161" s="4">
        <f t="shared" si="136"/>
        <v>4.3681953145522187E-2</v>
      </c>
      <c r="AE161" s="4">
        <v>111.10193158799999</v>
      </c>
      <c r="AF161" s="4">
        <f t="shared" si="137"/>
        <v>5.4342582852967905E-2</v>
      </c>
      <c r="AG161" s="4">
        <v>304.48585934900001</v>
      </c>
      <c r="AH161" s="4">
        <f t="shared" si="138"/>
        <v>53.696087344420427</v>
      </c>
      <c r="AI161" s="4">
        <v>170.13176654599999</v>
      </c>
      <c r="AJ161" s="4">
        <f t="shared" si="139"/>
        <v>24.468394761586755</v>
      </c>
      <c r="AK161" s="101">
        <f>SUMIFS($AJ$3:$AJ161,$D$3:$D161,D161)</f>
        <v>89.951941582799464</v>
      </c>
      <c r="AL161" s="4">
        <v>27.017807999999999</v>
      </c>
      <c r="AM161" s="4">
        <f t="shared" si="140"/>
        <v>3.8857081493832255</v>
      </c>
      <c r="AN161" s="101">
        <f>SUMIFS($AM$3:$AM161,$D$3:$D161,D161)</f>
        <v>3.8857081493832255</v>
      </c>
      <c r="AO161" s="4">
        <f t="shared" si="153"/>
        <v>107.33628480300001</v>
      </c>
      <c r="AP161" s="56">
        <v>2068.5652801720003</v>
      </c>
      <c r="AQ161" s="4">
        <f t="shared" si="141"/>
        <v>1.011784210389562</v>
      </c>
      <c r="AR161" s="4">
        <f>SUMIFS($AP$3:$AP161,$D$3:$D161,D161)</f>
        <v>6253.7055503749998</v>
      </c>
      <c r="AS161" s="4">
        <f t="shared" si="162"/>
        <v>26050.632431864004</v>
      </c>
      <c r="AT161" s="97">
        <f t="shared" si="172"/>
        <v>5.2799606639781338E-2</v>
      </c>
      <c r="AU161" s="97">
        <f t="shared" si="173"/>
        <v>0.12843586590513345</v>
      </c>
      <c r="AV161" s="98">
        <f t="shared" si="184"/>
        <v>0.10166845013689074</v>
      </c>
      <c r="AW161" s="4">
        <v>1027.3979946739998</v>
      </c>
      <c r="AX161" s="4">
        <f>SUMIFS($AW$3:$AW161,$D$3:$D161,D161)</f>
        <v>2984.0152278619998</v>
      </c>
      <c r="AY161" s="4">
        <f t="shared" si="163"/>
        <v>13210.965114570001</v>
      </c>
      <c r="AZ161" s="97">
        <f t="shared" si="174"/>
        <v>8.1539671523709334E-3</v>
      </c>
      <c r="BA161" s="97">
        <f t="shared" si="175"/>
        <v>5.7940409556735961E-3</v>
      </c>
      <c r="BB161" s="97">
        <f t="shared" si="190"/>
        <v>6.3273457085563534E-2</v>
      </c>
      <c r="BC161" s="4">
        <v>693.1913313</v>
      </c>
      <c r="BD161" s="4">
        <f t="shared" si="154"/>
        <v>334.20666337399985</v>
      </c>
      <c r="BE161" s="4">
        <v>206.57405407600004</v>
      </c>
      <c r="BF161" s="4">
        <v>59.233254418999998</v>
      </c>
      <c r="BG161" s="4">
        <f t="shared" si="142"/>
        <v>8.5189420033778571</v>
      </c>
      <c r="BH161" s="4">
        <f>Datos1[[#This Row],[Intereses]]/Datos1[[#This Row],[PIB nominal (miles de millones de G.)]]*100</f>
        <v>2.8972385897412283E-2</v>
      </c>
      <c r="BI161" s="4">
        <v>373.11395542700001</v>
      </c>
      <c r="BJ161" s="4">
        <v>337.93845605000001</v>
      </c>
      <c r="BK161" s="4">
        <v>64.307565525999991</v>
      </c>
      <c r="BL161" s="56">
        <f t="shared" si="143"/>
        <v>-133.58218254100029</v>
      </c>
      <c r="BM161" s="56">
        <f>SUMIFS($BL$3:$BL161,$D$3:$D161,D161)</f>
        <v>92.226762041000029</v>
      </c>
      <c r="BN161" s="56">
        <f t="shared" si="156"/>
        <v>1208.2183968109994</v>
      </c>
      <c r="BO161" s="100">
        <f t="shared" si="176"/>
        <v>0.75143055951357085</v>
      </c>
      <c r="BP161" s="100">
        <f t="shared" si="177"/>
        <v>-0.16215257287087315</v>
      </c>
      <c r="BQ161" s="100">
        <f t="shared" si="185"/>
        <v>-0.21008602156715195</v>
      </c>
      <c r="BR161" s="2">
        <f t="shared" si="144"/>
        <v>-6.5338205363826909E-2</v>
      </c>
      <c r="BS161" s="2">
        <f>+Datos1[[#This Row],[RON acumulado 12 meses]]/Datos1[[#This Row],[PIB nominal (miles de millones de G.)]]*100</f>
        <v>0.59096819825474045</v>
      </c>
      <c r="BT161" s="56">
        <v>290.12791172599998</v>
      </c>
      <c r="BU161" s="56">
        <f>SUMIFS($BT$3:$BT161,$D$3:$D161,D161)</f>
        <v>541.13785146399994</v>
      </c>
      <c r="BV161" s="56">
        <f t="shared" si="164"/>
        <v>3724.8730533659996</v>
      </c>
      <c r="BW161" s="100">
        <f t="shared" si="178"/>
        <v>0.25052154044640429</v>
      </c>
      <c r="BX161" s="100">
        <f t="shared" si="179"/>
        <v>-4.267347622604678E-2</v>
      </c>
      <c r="BY161" s="100">
        <f t="shared" si="186"/>
        <v>5.3432139432888937E-2</v>
      </c>
      <c r="BZ161" s="56">
        <f t="shared" si="145"/>
        <v>41.726271463519737</v>
      </c>
      <c r="CA161" s="56">
        <f>Datos1[[#This Row],[Adquisición Neta de Activos no Financieros]]/Datos1[[#This Row],[PIB nominal (miles de millones de G.)]]*100</f>
        <v>0.14190842459332739</v>
      </c>
      <c r="CB161" s="56">
        <f>+Datos1[[#This Row],[ANANF acumulado por año]]/Datos1[[#This Row],[PIB nominal (miles de millones de G.)]]*100</f>
        <v>0.2646833237527228</v>
      </c>
      <c r="CC161" s="56">
        <f>+Datos1[[#This Row],[ANANF acumulado 12 meses]]/Datos1[[#This Row],[PIB nominal (miles de millones de G.)]]*100</f>
        <v>1.8219235221756711</v>
      </c>
      <c r="CD161" s="4">
        <v>187.93566202399998</v>
      </c>
      <c r="CE161" s="4">
        <f t="shared" si="146"/>
        <v>27.028955623875497</v>
      </c>
      <c r="CF161" s="4">
        <f t="shared" si="147"/>
        <v>102.192249702</v>
      </c>
      <c r="CG161" s="4">
        <f t="shared" si="148"/>
        <v>14.697315839644244</v>
      </c>
      <c r="CH161" s="56">
        <f t="shared" si="149"/>
        <v>-423.71009426700027</v>
      </c>
      <c r="CI161" s="56">
        <f>SUMIFS($CH$3:$CH161,$D$3:$D161,D161)</f>
        <v>-448.91108942299991</v>
      </c>
      <c r="CJ161" s="56">
        <f t="shared" si="157"/>
        <v>-2516.6546565550007</v>
      </c>
      <c r="CK161" s="56">
        <f>Datos1[[#This Row],[Resultado Fiscal (miles de millones de G.)]]*1000/$F$207</f>
        <v>-60.938095580115821</v>
      </c>
      <c r="CL161" s="56">
        <f t="shared" si="165"/>
        <v>-361.94592500468616</v>
      </c>
      <c r="CM161" s="100">
        <f t="shared" si="180"/>
        <v>0.37445111242889717</v>
      </c>
      <c r="CN161" s="100">
        <f t="shared" si="181"/>
        <v>-1.3780162618966973E-2</v>
      </c>
      <c r="CO161" s="100">
        <f t="shared" si="187"/>
        <v>0.25432397945028895</v>
      </c>
      <c r="CP161" s="4">
        <f t="shared" si="150"/>
        <v>-0.20724662995715426</v>
      </c>
      <c r="CQ161" s="4">
        <f t="shared" si="158"/>
        <v>-1.2309553239209308</v>
      </c>
      <c r="CR161" s="73">
        <v>1125.249867837</v>
      </c>
      <c r="CS161" s="113">
        <f>SUM(Datos1[[#This Row],[FFPP]:[MTESS]])</f>
        <v>0</v>
      </c>
      <c r="CT161" s="113"/>
      <c r="CU161" s="113"/>
      <c r="CV161" s="113"/>
      <c r="CW161" s="113"/>
      <c r="CX161" s="113"/>
      <c r="CY161" s="113"/>
      <c r="CZ161" s="113"/>
    </row>
    <row r="162" spans="1:104">
      <c r="A162">
        <v>160</v>
      </c>
      <c r="B162" s="3">
        <v>42461</v>
      </c>
      <c r="C162" s="14" t="str">
        <f t="shared" si="132"/>
        <v>Abril</v>
      </c>
      <c r="D162" s="14">
        <f t="shared" si="151"/>
        <v>2016</v>
      </c>
      <c r="E162" s="15">
        <f t="shared" si="133"/>
        <v>204447.2782764174</v>
      </c>
      <c r="F162" s="15">
        <f t="shared" si="134"/>
        <v>5670.5408979978356</v>
      </c>
      <c r="G162" s="56">
        <v>2256.5545515949998</v>
      </c>
      <c r="H162" s="4">
        <f t="shared" si="152"/>
        <v>1.103734209923835</v>
      </c>
      <c r="I162" s="4">
        <f>SUMIFS($G$3:$G162,$D$3:$D162,D162)</f>
        <v>8602.4868640109999</v>
      </c>
      <c r="J162" s="2">
        <f t="shared" si="159"/>
        <v>27281.618514209</v>
      </c>
      <c r="K162" s="95">
        <f t="shared" si="166"/>
        <v>9.0885086031454954E-2</v>
      </c>
      <c r="L162" s="95">
        <f t="shared" si="167"/>
        <v>1.0192416241638913E-2</v>
      </c>
      <c r="M162" s="95">
        <f t="shared" si="182"/>
        <v>7.2436827866541265E-2</v>
      </c>
      <c r="N162" s="4">
        <v>1844.0988859499998</v>
      </c>
      <c r="O162" s="4">
        <f t="shared" si="135"/>
        <v>0.90199238722891484</v>
      </c>
      <c r="P162" s="4">
        <f>SUMIFS($N$3:$N162,$D$3:$D162,D162)</f>
        <v>5929.7353032370002</v>
      </c>
      <c r="Q162" s="4">
        <f t="shared" si="155"/>
        <v>18291.532493051</v>
      </c>
      <c r="R162" s="97">
        <f t="shared" si="168"/>
        <v>3.6813177096495231E-2</v>
      </c>
      <c r="S162" s="97">
        <f t="shared" si="169"/>
        <v>3.5724475252459031E-2</v>
      </c>
      <c r="T162" s="97">
        <f t="shared" si="183"/>
        <v>1.3610286075842026E-2</v>
      </c>
      <c r="U162" s="4">
        <v>1281.238090888</v>
      </c>
      <c r="V162" s="4">
        <f t="shared" si="160"/>
        <v>10621.733228480001</v>
      </c>
      <c r="W162" s="97">
        <f t="shared" si="188"/>
        <v>4.7954211502262423E-2</v>
      </c>
      <c r="X162" s="97">
        <f t="shared" si="170"/>
        <v>8.722200448746209E-2</v>
      </c>
      <c r="Y162" s="4">
        <v>560.78165205000005</v>
      </c>
      <c r="Z162" s="4">
        <f t="shared" si="161"/>
        <v>7650.2341988619992</v>
      </c>
      <c r="AA162" s="97">
        <f t="shared" si="189"/>
        <v>-2.0911418927277103E-2</v>
      </c>
      <c r="AB162" s="97">
        <f t="shared" si="171"/>
        <v>-0.10454050558117001</v>
      </c>
      <c r="AC162" s="4">
        <v>86.097928316000008</v>
      </c>
      <c r="AD162" s="4">
        <f t="shared" si="136"/>
        <v>4.2112533383591264E-2</v>
      </c>
      <c r="AE162" s="4">
        <v>49.111768249000001</v>
      </c>
      <c r="AF162" s="4">
        <f t="shared" si="137"/>
        <v>2.4021727588175452E-2</v>
      </c>
      <c r="AG162" s="4">
        <v>277.24596907999995</v>
      </c>
      <c r="AH162" s="4">
        <f t="shared" si="138"/>
        <v>48.892332154396492</v>
      </c>
      <c r="AI162" s="4">
        <v>169.92624759</v>
      </c>
      <c r="AJ162" s="4">
        <f t="shared" si="139"/>
        <v>24.438836972065786</v>
      </c>
      <c r="AK162" s="101">
        <f>SUMIFS($AJ$3:$AJ162,$D$3:$D162,D162)</f>
        <v>114.39077855486525</v>
      </c>
      <c r="AL162" s="4">
        <v>0</v>
      </c>
      <c r="AM162" s="4">
        <f t="shared" si="140"/>
        <v>0</v>
      </c>
      <c r="AN162" s="101">
        <f>SUMIFS($AM$3:$AM162,$D$3:$D162,D162)</f>
        <v>3.8857081493832255</v>
      </c>
      <c r="AO162" s="4">
        <f t="shared" si="153"/>
        <v>107.31972148999995</v>
      </c>
      <c r="AP162" s="56">
        <v>1876.1431719349998</v>
      </c>
      <c r="AQ162" s="4">
        <f t="shared" si="141"/>
        <v>0.91766600551092259</v>
      </c>
      <c r="AR162" s="4">
        <f>SUMIFS($AP$3:$AP162,$D$3:$D162,D162)</f>
        <v>8129.8487223100001</v>
      </c>
      <c r="AS162" s="4">
        <f t="shared" si="162"/>
        <v>25989.299355279003</v>
      </c>
      <c r="AT162" s="97">
        <f t="shared" si="172"/>
        <v>-3.1656169530775435E-2</v>
      </c>
      <c r="AU162" s="97">
        <f t="shared" si="173"/>
        <v>8.6965358192536035E-2</v>
      </c>
      <c r="AV162" s="98">
        <f t="shared" si="184"/>
        <v>8.6986829229449558E-2</v>
      </c>
      <c r="AW162" s="4">
        <v>1018.3175989209999</v>
      </c>
      <c r="AX162" s="4">
        <f>SUMIFS($AW$3:$AW162,$D$3:$D162,D162)</f>
        <v>4002.3328267829997</v>
      </c>
      <c r="AY162" s="4">
        <f t="shared" si="163"/>
        <v>13213.000023499999</v>
      </c>
      <c r="AZ162" s="97">
        <f t="shared" si="174"/>
        <v>2.0023060021008288E-3</v>
      </c>
      <c r="BA162" s="97">
        <f t="shared" si="175"/>
        <v>4.8265867494980963E-3</v>
      </c>
      <c r="BB162" s="97">
        <f t="shared" si="190"/>
        <v>5.64185206186123E-2</v>
      </c>
      <c r="BC162" s="4">
        <v>691.82088617299996</v>
      </c>
      <c r="BD162" s="4">
        <f t="shared" si="154"/>
        <v>326.49671274799994</v>
      </c>
      <c r="BE162" s="4">
        <v>177.742523105</v>
      </c>
      <c r="BF162" s="4">
        <v>22.770598943</v>
      </c>
      <c r="BG162" s="4">
        <f t="shared" si="142"/>
        <v>3.2748734419591763</v>
      </c>
      <c r="BH162" s="4">
        <f>Datos1[[#This Row],[Intereses]]/Datos1[[#This Row],[PIB nominal (miles de millones de G.)]]*100</f>
        <v>1.1137638580941942E-2</v>
      </c>
      <c r="BI162" s="4">
        <v>331.37722629799998</v>
      </c>
      <c r="BJ162" s="4">
        <v>295.84329470599994</v>
      </c>
      <c r="BK162" s="4">
        <v>30.091929961999995</v>
      </c>
      <c r="BL162" s="56">
        <f t="shared" si="143"/>
        <v>380.41137965999997</v>
      </c>
      <c r="BM162" s="56">
        <f>SUMIFS($BL$3:$BL162,$D$3:$D162,D162)</f>
        <v>472.638141701</v>
      </c>
      <c r="BN162" s="56">
        <f t="shared" si="156"/>
        <v>1292.3191589299988</v>
      </c>
      <c r="BO162" s="100">
        <f t="shared" si="176"/>
        <v>0.28382635363163256</v>
      </c>
      <c r="BP162" s="100">
        <f t="shared" si="177"/>
        <v>0.16302629965078186</v>
      </c>
      <c r="BQ162" s="100">
        <f t="shared" si="185"/>
        <v>-0.15502453608265809</v>
      </c>
      <c r="BR162" s="2">
        <f t="shared" si="144"/>
        <v>0.18606820441291227</v>
      </c>
      <c r="BS162" s="2">
        <f>+Datos1[[#This Row],[RON acumulado 12 meses]]/Datos1[[#This Row],[PIB nominal (miles de millones de G.)]]*100</f>
        <v>0.63210387040846472</v>
      </c>
      <c r="BT162" s="56">
        <v>280.27132817200004</v>
      </c>
      <c r="BU162" s="56">
        <f>SUMIFS($BT$3:$BT162,$D$3:$D162,D162)</f>
        <v>821.40917963599998</v>
      </c>
      <c r="BV162" s="56">
        <f t="shared" si="164"/>
        <v>3736.9787007499999</v>
      </c>
      <c r="BW162" s="100">
        <f t="shared" si="178"/>
        <v>4.5142418479604762E-2</v>
      </c>
      <c r="BX162" s="100">
        <f t="shared" si="179"/>
        <v>-1.4417537334079245E-2</v>
      </c>
      <c r="BY162" s="100">
        <f t="shared" si="186"/>
        <v>3.5174027548922071E-2</v>
      </c>
      <c r="BZ162" s="56">
        <f t="shared" si="145"/>
        <v>40.308695062027283</v>
      </c>
      <c r="CA162" s="56">
        <f>Datos1[[#This Row],[Adquisición Neta de Activos no Financieros]]/Datos1[[#This Row],[PIB nominal (miles de millones de G.)]]*100</f>
        <v>0.13708733641984061</v>
      </c>
      <c r="CB162" s="56">
        <f>+Datos1[[#This Row],[ANANF acumulado por año]]/Datos1[[#This Row],[PIB nominal (miles de millones de G.)]]*100</f>
        <v>0.40177066017256341</v>
      </c>
      <c r="CC162" s="56">
        <f>+Datos1[[#This Row],[ANANF acumulado 12 meses]]/Datos1[[#This Row],[PIB nominal (miles de millones de G.)]]*100</f>
        <v>1.8278446806699569</v>
      </c>
      <c r="CD162" s="4">
        <v>173.31122575600003</v>
      </c>
      <c r="CE162" s="4">
        <f t="shared" si="146"/>
        <v>24.92566540926212</v>
      </c>
      <c r="CF162" s="4">
        <f t="shared" si="147"/>
        <v>106.96010241600001</v>
      </c>
      <c r="CG162" s="4">
        <f t="shared" si="148"/>
        <v>15.383029652765158</v>
      </c>
      <c r="CH162" s="56">
        <f t="shared" si="149"/>
        <v>100.14005148799993</v>
      </c>
      <c r="CI162" s="56">
        <f>SUMIFS($CH$3:$CH162,$D$3:$D162,D162)</f>
        <v>-348.77103793499998</v>
      </c>
      <c r="CJ162" s="56">
        <f t="shared" si="157"/>
        <v>-2444.6595418200013</v>
      </c>
      <c r="CK162" s="56">
        <f>Datos1[[#This Row],[Resultado Fiscal (miles de millones de G.)]]*1000/$F$207</f>
        <v>14.402168160591605</v>
      </c>
      <c r="CL162" s="56">
        <f t="shared" si="165"/>
        <v>-351.59156894287804</v>
      </c>
      <c r="CM162" s="100">
        <f t="shared" si="180"/>
        <v>2.5580130226202829</v>
      </c>
      <c r="CN162" s="100">
        <f t="shared" si="181"/>
        <v>-0.18327993838938461</v>
      </c>
      <c r="CO162" s="100">
        <f t="shared" si="187"/>
        <v>0.1749870456524445</v>
      </c>
      <c r="CP162" s="4">
        <f t="shared" si="150"/>
        <v>4.8980867993071685E-2</v>
      </c>
      <c r="CQ162" s="4">
        <f t="shared" si="158"/>
        <v>-1.1957408102614924</v>
      </c>
      <c r="CR162" s="73">
        <v>1114.413549244</v>
      </c>
      <c r="CS162" s="113">
        <f>SUM(Datos1[[#This Row],[FFPP]:[MTESS]])</f>
        <v>0</v>
      </c>
      <c r="CT162" s="113"/>
      <c r="CU162" s="113"/>
      <c r="CV162" s="113"/>
      <c r="CW162" s="113"/>
      <c r="CX162" s="113"/>
      <c r="CY162" s="113"/>
      <c r="CZ162" s="113"/>
    </row>
    <row r="163" spans="1:104">
      <c r="A163">
        <v>161</v>
      </c>
      <c r="B163" s="3">
        <v>42491</v>
      </c>
      <c r="C163" s="14" t="str">
        <f t="shared" si="132"/>
        <v>Mayo</v>
      </c>
      <c r="D163" s="14">
        <f t="shared" si="151"/>
        <v>2016</v>
      </c>
      <c r="E163" s="15">
        <f t="shared" si="133"/>
        <v>204447.2782764174</v>
      </c>
      <c r="F163" s="15">
        <f t="shared" ref="F163:F194" si="191">VLOOKUP(D163,cambio,2,0)</f>
        <v>5670.5408979978356</v>
      </c>
      <c r="G163" s="56">
        <v>2503.5869280660004</v>
      </c>
      <c r="H163" s="4">
        <f t="shared" si="152"/>
        <v>1.2245635888001862</v>
      </c>
      <c r="I163" s="4">
        <f>SUMIFS($G$3:$G163,$D$3:$D163,D163)</f>
        <v>11106.073792077001</v>
      </c>
      <c r="J163" s="2">
        <f t="shared" si="159"/>
        <v>27139.010617468</v>
      </c>
      <c r="K163" s="95">
        <f t="shared" si="166"/>
        <v>5.4509447875917827E-2</v>
      </c>
      <c r="L163" s="95">
        <f t="shared" si="167"/>
        <v>-5.3891684544202456E-2</v>
      </c>
      <c r="M163" s="95">
        <f t="shared" si="182"/>
        <v>6.8445469192222053E-2</v>
      </c>
      <c r="N163" s="4">
        <v>1969.6048592640002</v>
      </c>
      <c r="O163" s="4">
        <f t="shared" si="135"/>
        <v>0.96338032761729875</v>
      </c>
      <c r="P163" s="4">
        <f>SUMIFS($N$3:$N163,$D$3:$D163,D163)</f>
        <v>7899.3401625010001</v>
      </c>
      <c r="Q163" s="4">
        <f t="shared" si="155"/>
        <v>18527.352325914999</v>
      </c>
      <c r="R163" s="97">
        <f t="shared" si="168"/>
        <v>0.13601445927448808</v>
      </c>
      <c r="S163" s="97">
        <f t="shared" si="169"/>
        <v>5.9036111801363589E-2</v>
      </c>
      <c r="T163" s="97">
        <f t="shared" si="183"/>
        <v>2.9537117350750597E-2</v>
      </c>
      <c r="U163" s="4">
        <v>1337.3660351000001</v>
      </c>
      <c r="V163" s="4">
        <f t="shared" si="160"/>
        <v>10829.546687584001</v>
      </c>
      <c r="W163" s="97">
        <f t="shared" si="188"/>
        <v>7.1358821902761882E-2</v>
      </c>
      <c r="X163" s="97">
        <f t="shared" si="170"/>
        <v>0.18397856241508492</v>
      </c>
      <c r="Y163" s="4">
        <v>565.20774342999994</v>
      </c>
      <c r="Z163" s="4">
        <f t="shared" si="161"/>
        <v>7630.5786028419989</v>
      </c>
      <c r="AA163" s="97">
        <f t="shared" si="189"/>
        <v>-1.8136698969121956E-2</v>
      </c>
      <c r="AB163" s="97">
        <f t="shared" si="171"/>
        <v>-3.3607160329939711E-2</v>
      </c>
      <c r="AC163" s="4">
        <v>69.819766013999995</v>
      </c>
      <c r="AD163" s="4">
        <f t="shared" si="136"/>
        <v>3.4150499142180837E-2</v>
      </c>
      <c r="AE163" s="4">
        <v>68.945188874999999</v>
      </c>
      <c r="AF163" s="4">
        <f t="shared" si="137"/>
        <v>3.372272277539666E-2</v>
      </c>
      <c r="AG163" s="4">
        <v>395.21711391299993</v>
      </c>
      <c r="AH163" s="4">
        <f t="shared" si="138"/>
        <v>69.696545889042767</v>
      </c>
      <c r="AI163" s="4">
        <v>169.51257126200002</v>
      </c>
      <c r="AJ163" s="4">
        <f t="shared" si="139"/>
        <v>24.379341935350872</v>
      </c>
      <c r="AK163" s="101">
        <f>SUMIFS($AJ$3:$AJ163,$D$3:$D163,D163)</f>
        <v>138.77012049021613</v>
      </c>
      <c r="AL163" s="4">
        <v>126.3381974</v>
      </c>
      <c r="AM163" s="4">
        <f t="shared" si="140"/>
        <v>18.169992296028113</v>
      </c>
      <c r="AN163" s="101">
        <f>SUMIFS($AM$3:$AM163,$D$3:$D163,D163)</f>
        <v>22.05570044541134</v>
      </c>
      <c r="AO163" s="4">
        <f t="shared" si="153"/>
        <v>99.366345250999913</v>
      </c>
      <c r="AP163" s="56">
        <v>2089.3681252820002</v>
      </c>
      <c r="AQ163" s="4">
        <f t="shared" si="141"/>
        <v>1.0219593740236181</v>
      </c>
      <c r="AR163" s="4">
        <f>SUMIFS($AP$3:$AP163,$D$3:$D163,D163)</f>
        <v>10219.216847592001</v>
      </c>
      <c r="AS163" s="4">
        <f t="shared" si="162"/>
        <v>26064.270513005002</v>
      </c>
      <c r="AT163" s="97">
        <f t="shared" si="172"/>
        <v>3.7217668083049382E-2</v>
      </c>
      <c r="AU163" s="97">
        <f t="shared" si="173"/>
        <v>7.6409876942419741E-2</v>
      </c>
      <c r="AV163" s="98">
        <f t="shared" si="184"/>
        <v>7.6649042206553997E-2</v>
      </c>
      <c r="AW163" s="4">
        <v>997.34287980200008</v>
      </c>
      <c r="AX163" s="4">
        <f>SUMIFS($AW$3:$AW163,$D$3:$D163,D163)</f>
        <v>4999.6757065849997</v>
      </c>
      <c r="AY163" s="4">
        <f t="shared" si="163"/>
        <v>13197.218706669999</v>
      </c>
      <c r="AZ163" s="97">
        <f t="shared" si="174"/>
        <v>-1.5576882757773358E-2</v>
      </c>
      <c r="BA163" s="97">
        <f t="shared" si="175"/>
        <v>6.8921927009846229E-4</v>
      </c>
      <c r="BB163" s="97">
        <f t="shared" si="190"/>
        <v>4.9561137199477079E-2</v>
      </c>
      <c r="BC163" s="4">
        <v>669.325814186</v>
      </c>
      <c r="BD163" s="4">
        <f t="shared" si="154"/>
        <v>328.01706561600008</v>
      </c>
      <c r="BE163" s="4">
        <v>185.33233860999999</v>
      </c>
      <c r="BF163" s="4">
        <v>63.103499092999996</v>
      </c>
      <c r="BG163" s="4">
        <f t="shared" si="142"/>
        <v>9.0755615955323652</v>
      </c>
      <c r="BH163" s="4">
        <f>Datos1[[#This Row],[Intereses]]/Datos1[[#This Row],[PIB nominal (miles de millones de G.)]]*100</f>
        <v>3.0865414118001911E-2</v>
      </c>
      <c r="BI163" s="4">
        <v>374.75303312999995</v>
      </c>
      <c r="BJ163" s="4">
        <v>366.76680859800001</v>
      </c>
      <c r="BK163" s="4">
        <v>102.069566049</v>
      </c>
      <c r="BL163" s="56">
        <f t="shared" ref="BL163:BL194" si="192">+G163-AP163</f>
        <v>414.21880278400022</v>
      </c>
      <c r="BM163" s="56">
        <f>SUMIFS($BL$3:$BL163,$D$3:$D163,D163)</f>
        <v>886.85694448500021</v>
      </c>
      <c r="BN163" s="56">
        <f t="shared" si="156"/>
        <v>1074.7401044629987</v>
      </c>
      <c r="BO163" s="100">
        <f t="shared" si="176"/>
        <v>-0.34438080466702248</v>
      </c>
      <c r="BP163" s="100">
        <f t="shared" si="177"/>
        <v>-0.1457615674902748</v>
      </c>
      <c r="BQ163" s="100">
        <f t="shared" si="185"/>
        <v>-9.8196025948860233E-2</v>
      </c>
      <c r="BR163" s="2">
        <f t="shared" si="144"/>
        <v>0.2026042147765679</v>
      </c>
      <c r="BS163" s="2">
        <f>+Datos1[[#This Row],[RON acumulado 12 meses]]/Datos1[[#This Row],[PIB nominal (miles de millones de G.)]]*100</f>
        <v>0.52568080804182948</v>
      </c>
      <c r="BT163" s="56">
        <v>470.21550394600007</v>
      </c>
      <c r="BU163" s="56">
        <f>SUMIFS($BT$3:$BT163,$D$3:$D163,D163)</f>
        <v>1291.624683582</v>
      </c>
      <c r="BV163" s="56">
        <f t="shared" si="164"/>
        <v>3959.7649018419993</v>
      </c>
      <c r="BW163" s="100">
        <f t="shared" si="178"/>
        <v>0.90040346281644323</v>
      </c>
      <c r="BX163" s="100">
        <f t="shared" si="179"/>
        <v>0.19500337825437608</v>
      </c>
      <c r="BY163" s="100">
        <f t="shared" si="186"/>
        <v>0.1045009987366754</v>
      </c>
      <c r="BZ163" s="56">
        <f t="shared" si="145"/>
        <v>67.626515654020224</v>
      </c>
      <c r="CA163" s="56">
        <f>Datos1[[#This Row],[Adquisición Neta de Activos no Financieros]]/Datos1[[#This Row],[PIB nominal (miles de millones de G.)]]*100</f>
        <v>0.22999352591539904</v>
      </c>
      <c r="CB163" s="56">
        <f>+Datos1[[#This Row],[ANANF acumulado por año]]/Datos1[[#This Row],[PIB nominal (miles de millones de G.)]]*100</f>
        <v>0.63176418608796248</v>
      </c>
      <c r="CC163" s="56">
        <f>+Datos1[[#This Row],[ANANF acumulado 12 meses]]/Datos1[[#This Row],[PIB nominal (miles de millones de G.)]]*100</f>
        <v>1.9368146816257963</v>
      </c>
      <c r="CD163" s="4">
        <v>303.36091412600001</v>
      </c>
      <c r="CE163" s="4">
        <f t="shared" si="146"/>
        <v>43.629445298587633</v>
      </c>
      <c r="CF163" s="4">
        <f t="shared" si="147"/>
        <v>166.85458982000006</v>
      </c>
      <c r="CG163" s="4">
        <f t="shared" si="148"/>
        <v>23.997070355432598</v>
      </c>
      <c r="CH163" s="56">
        <f t="shared" si="149"/>
        <v>-55.996701161999852</v>
      </c>
      <c r="CI163" s="56">
        <f>SUMIFS($CH$3:$CH163,$D$3:$D163,D163)</f>
        <v>-404.76773909699983</v>
      </c>
      <c r="CJ163" s="56">
        <f t="shared" si="157"/>
        <v>-2885.0247973790015</v>
      </c>
      <c r="CK163" s="56">
        <f>Datos1[[#This Row],[Resultado Fiscal (miles de millones de G.)]]*1000/$F$207</f>
        <v>-8.0534600750645637</v>
      </c>
      <c r="CL163" s="56">
        <f t="shared" si="165"/>
        <v>-414.92501413690837</v>
      </c>
      <c r="CM163" s="100">
        <f t="shared" si="180"/>
        <v>-1.1456849175652462</v>
      </c>
      <c r="CN163" s="100">
        <f t="shared" si="181"/>
        <v>8.485980068560961</v>
      </c>
      <c r="CO163" s="100">
        <f t="shared" si="187"/>
        <v>0.20543384359736505</v>
      </c>
      <c r="CP163" s="4">
        <f t="shared" si="150"/>
        <v>-2.738931113883112E-2</v>
      </c>
      <c r="CQ163" s="4">
        <f t="shared" si="158"/>
        <v>-1.4111338735839671</v>
      </c>
      <c r="CR163" s="73">
        <v>1084.8553830119999</v>
      </c>
      <c r="CS163" s="113">
        <f>SUM(Datos1[[#This Row],[FFPP]:[MTESS]])</f>
        <v>0</v>
      </c>
      <c r="CT163" s="113"/>
      <c r="CU163" s="113"/>
      <c r="CV163" s="113"/>
      <c r="CW163" s="113"/>
      <c r="CX163" s="113"/>
      <c r="CY163" s="113"/>
      <c r="CZ163" s="113"/>
    </row>
    <row r="164" spans="1:104">
      <c r="A164">
        <v>162</v>
      </c>
      <c r="B164" s="3">
        <v>42522</v>
      </c>
      <c r="C164" s="14" t="str">
        <f t="shared" si="132"/>
        <v>Junio</v>
      </c>
      <c r="D164" s="14">
        <f t="shared" si="151"/>
        <v>2016</v>
      </c>
      <c r="E164" s="15">
        <f t="shared" si="133"/>
        <v>204447.2782764174</v>
      </c>
      <c r="F164" s="15">
        <f t="shared" si="191"/>
        <v>5670.5408979978356</v>
      </c>
      <c r="G164" s="56">
        <v>2120.2597852710001</v>
      </c>
      <c r="H164" s="4">
        <f t="shared" si="152"/>
        <v>1.0370692156656447</v>
      </c>
      <c r="I164" s="4">
        <f>SUMIFS($G$3:$G164,$D$3:$D164,D164)</f>
        <v>13226.333577348001</v>
      </c>
      <c r="J164" s="2">
        <f t="shared" si="159"/>
        <v>27083.122101526998</v>
      </c>
      <c r="K164" s="95">
        <f t="shared" si="166"/>
        <v>4.077735954117756E-2</v>
      </c>
      <c r="L164" s="95">
        <f t="shared" si="167"/>
        <v>-2.5682310304804501E-2</v>
      </c>
      <c r="M164" s="95">
        <f t="shared" si="182"/>
        <v>4.9839980159927633E-2</v>
      </c>
      <c r="N164" s="4">
        <v>1500.097742528</v>
      </c>
      <c r="O164" s="4">
        <f t="shared" si="135"/>
        <v>0.73373329064319137</v>
      </c>
      <c r="P164" s="4">
        <f>SUMIFS($N$3:$N164,$D$3:$D164,D164)</f>
        <v>9399.4379050290008</v>
      </c>
      <c r="Q164" s="4">
        <f t="shared" si="155"/>
        <v>18631.054052972999</v>
      </c>
      <c r="R164" s="97">
        <f t="shared" si="168"/>
        <v>7.4263837700149882E-2</v>
      </c>
      <c r="S164" s="97">
        <f t="shared" si="169"/>
        <v>6.1437354936006772E-2</v>
      </c>
      <c r="T164" s="97">
        <f t="shared" si="183"/>
        <v>3.2425776601433309E-2</v>
      </c>
      <c r="U164" s="4">
        <v>882.76883738999993</v>
      </c>
      <c r="V164" s="4">
        <f t="shared" si="160"/>
        <v>10944.815226541001</v>
      </c>
      <c r="W164" s="97">
        <f t="shared" si="188"/>
        <v>8.4606920030804389E-2</v>
      </c>
      <c r="X164" s="97">
        <f t="shared" si="170"/>
        <v>0.15018696304397916</v>
      </c>
      <c r="Y164" s="4">
        <v>613.28520026000012</v>
      </c>
      <c r="Z164" s="4">
        <f t="shared" si="161"/>
        <v>7587.5048592419998</v>
      </c>
      <c r="AA164" s="97">
        <f t="shared" si="189"/>
        <v>-3.1563415701466258E-2</v>
      </c>
      <c r="AB164" s="97">
        <f t="shared" si="171"/>
        <v>-6.5625286290282303E-2</v>
      </c>
      <c r="AC164" s="4">
        <v>178.85113111599998</v>
      </c>
      <c r="AD164" s="4">
        <f t="shared" si="136"/>
        <v>8.7480318947650237E-2</v>
      </c>
      <c r="AE164" s="4">
        <v>50.440711433000004</v>
      </c>
      <c r="AF164" s="4">
        <f t="shared" si="137"/>
        <v>2.467174513558601E-2</v>
      </c>
      <c r="AG164" s="4">
        <v>390.87020019400001</v>
      </c>
      <c r="AH164" s="4">
        <f t="shared" si="138"/>
        <v>68.929967568351231</v>
      </c>
      <c r="AI164" s="4">
        <v>172.634485254</v>
      </c>
      <c r="AJ164" s="4">
        <f t="shared" si="139"/>
        <v>24.82833641485816</v>
      </c>
      <c r="AK164" s="101">
        <f>SUMIFS($AJ$3:$AJ164,$D$3:$D164,D164)</f>
        <v>163.5984569050743</v>
      </c>
      <c r="AL164" s="4">
        <v>111.53113999999999</v>
      </c>
      <c r="AM164" s="4">
        <f t="shared" si="140"/>
        <v>16.04043746287639</v>
      </c>
      <c r="AN164" s="101">
        <f>SUMIFS($AM$3:$AM164,$D$3:$D164,D164)</f>
        <v>38.09613790828773</v>
      </c>
      <c r="AO164" s="4">
        <f t="shared" si="153"/>
        <v>106.70457494000001</v>
      </c>
      <c r="AP164" s="56">
        <v>2015.4368392459999</v>
      </c>
      <c r="AQ164" s="4">
        <f t="shared" si="141"/>
        <v>0.98579783318077874</v>
      </c>
      <c r="AR164" s="4">
        <f>SUMIFS($AP$3:$AP164,$D$3:$D164,D164)</f>
        <v>12234.653686838001</v>
      </c>
      <c r="AS164" s="4">
        <f t="shared" si="162"/>
        <v>25970.321956719999</v>
      </c>
      <c r="AT164" s="97">
        <f t="shared" si="172"/>
        <v>-4.4538355335180468E-2</v>
      </c>
      <c r="AU164" s="97">
        <f t="shared" si="173"/>
        <v>5.4422250931876803E-2</v>
      </c>
      <c r="AV164" s="98">
        <f t="shared" si="184"/>
        <v>6.8542752578576671E-2</v>
      </c>
      <c r="AW164" s="4">
        <v>1055.1315176850001</v>
      </c>
      <c r="AX164" s="4">
        <f>SUMIFS($AW$3:$AW164,$D$3:$D164,D164)</f>
        <v>6054.80722427</v>
      </c>
      <c r="AY164" s="4">
        <f t="shared" si="163"/>
        <v>13234.699052367001</v>
      </c>
      <c r="AZ164" s="97">
        <f t="shared" si="174"/>
        <v>3.6830248643827224E-2</v>
      </c>
      <c r="BA164" s="97">
        <f t="shared" si="175"/>
        <v>6.8048950457715307E-3</v>
      </c>
      <c r="BB164" s="97">
        <f t="shared" si="190"/>
        <v>4.6629212518320529E-2</v>
      </c>
      <c r="BC164" s="4">
        <v>714.90733641500003</v>
      </c>
      <c r="BD164" s="4">
        <f t="shared" si="154"/>
        <v>340.22418127000003</v>
      </c>
      <c r="BE164" s="4">
        <v>188.21906006099999</v>
      </c>
      <c r="BF164" s="4">
        <v>11.415238760999999</v>
      </c>
      <c r="BG164" s="4">
        <f t="shared" si="142"/>
        <v>1.6417425973555286</v>
      </c>
      <c r="BH164" s="4">
        <f>Datos1[[#This Row],[Intereses]]/Datos1[[#This Row],[PIB nominal (miles de millones de G.)]]*100</f>
        <v>5.5834633051785286E-3</v>
      </c>
      <c r="BI164" s="4">
        <v>348.70485776200002</v>
      </c>
      <c r="BJ164" s="4">
        <v>298.02015229099999</v>
      </c>
      <c r="BK164" s="4">
        <v>113.946012686</v>
      </c>
      <c r="BL164" s="56">
        <f t="shared" si="192"/>
        <v>104.82294602500019</v>
      </c>
      <c r="BM164" s="56">
        <f>SUMIFS($BL$3:$BL164,$D$3:$D164,D164)</f>
        <v>991.6798905100004</v>
      </c>
      <c r="BN164" s="56">
        <f t="shared" si="156"/>
        <v>1112.8001448069988</v>
      </c>
      <c r="BO164" s="100">
        <f t="shared" si="176"/>
        <v>0.57007764949378892</v>
      </c>
      <c r="BP164" s="100">
        <f t="shared" si="177"/>
        <v>-0.10250926991354692</v>
      </c>
      <c r="BQ164" s="100">
        <f t="shared" si="185"/>
        <v>-0.2546308344865873</v>
      </c>
      <c r="BR164" s="2">
        <f t="shared" si="144"/>
        <v>5.1271382484865936E-2</v>
      </c>
      <c r="BS164" s="2">
        <f>+Datos1[[#This Row],[RON acumulado 12 meses]]/Datos1[[#This Row],[PIB nominal (miles de millones de G.)]]*100</f>
        <v>0.54429687408333571</v>
      </c>
      <c r="BT164" s="56">
        <v>393.31358946200004</v>
      </c>
      <c r="BU164" s="56">
        <f>SUMIFS($BT$3:$BT164,$D$3:$D164,D164)</f>
        <v>1684.938273044</v>
      </c>
      <c r="BV164" s="56">
        <f t="shared" si="164"/>
        <v>4129.4074287250005</v>
      </c>
      <c r="BW164" s="100">
        <f t="shared" si="178"/>
        <v>0.75844646565794704</v>
      </c>
      <c r="BX164" s="100">
        <f t="shared" si="179"/>
        <v>0.29161008753114537</v>
      </c>
      <c r="BY164" s="100">
        <f t="shared" si="186"/>
        <v>0.13354423655911263</v>
      </c>
      <c r="BZ164" s="56">
        <f t="shared" si="145"/>
        <v>56.566462380503339</v>
      </c>
      <c r="CA164" s="56">
        <f>Datos1[[#This Row],[Adquisición Neta de Activos no Financieros]]/Datos1[[#This Row],[PIB nominal (miles de millones de G.)]]*100</f>
        <v>0.19237898042850493</v>
      </c>
      <c r="CB164" s="56">
        <f>+Datos1[[#This Row],[ANANF acumulado por año]]/Datos1[[#This Row],[PIB nominal (miles de millones de G.)]]*100</f>
        <v>0.82414316651646735</v>
      </c>
      <c r="CC164" s="56">
        <f>+Datos1[[#This Row],[ANANF acumulado 12 meses]]/Datos1[[#This Row],[PIB nominal (miles de millones de G.)]]*100</f>
        <v>2.0197908544137952</v>
      </c>
      <c r="CD164" s="4">
        <v>237.98669741800001</v>
      </c>
      <c r="CE164" s="4">
        <f t="shared" si="146"/>
        <v>34.227308507112141</v>
      </c>
      <c r="CF164" s="4">
        <f t="shared" si="147"/>
        <v>155.32689204400003</v>
      </c>
      <c r="CG164" s="4">
        <f t="shared" si="148"/>
        <v>22.33915387339119</v>
      </c>
      <c r="CH164" s="56">
        <f t="shared" si="149"/>
        <v>-288.49064343699985</v>
      </c>
      <c r="CI164" s="56">
        <f>SUMIFS($CH$3:$CH164,$D$3:$D164,D164)</f>
        <v>-693.25838253399968</v>
      </c>
      <c r="CJ164" s="56">
        <f t="shared" si="157"/>
        <v>-3016.6072839180015</v>
      </c>
      <c r="CK164" s="56">
        <f>Datos1[[#This Row],[Resultado Fiscal (miles de millones de G.)]]*1000/$F$207</f>
        <v>-41.490799113827478</v>
      </c>
      <c r="CL164" s="56">
        <f t="shared" si="165"/>
        <v>-433.84924145618982</v>
      </c>
      <c r="CM164" s="100">
        <f t="shared" si="180"/>
        <v>0.83859557807779761</v>
      </c>
      <c r="CN164" s="100">
        <f t="shared" si="181"/>
        <v>2.4736167437725656</v>
      </c>
      <c r="CO164" s="100">
        <f t="shared" si="187"/>
        <v>0.40309586600050373</v>
      </c>
      <c r="CP164" s="4">
        <f t="shared" si="150"/>
        <v>-0.141107597943639</v>
      </c>
      <c r="CQ164" s="4">
        <f t="shared" si="158"/>
        <v>-1.4754939803304592</v>
      </c>
      <c r="CR164" s="73">
        <v>1143.2719707460001</v>
      </c>
      <c r="CS164" s="113">
        <f>SUM(Datos1[[#This Row],[FFPP]:[MTESS]])</f>
        <v>0</v>
      </c>
      <c r="CT164" s="113"/>
      <c r="CU164" s="113"/>
      <c r="CV164" s="113"/>
      <c r="CW164" s="113"/>
      <c r="CX164" s="113"/>
      <c r="CY164" s="113"/>
      <c r="CZ164" s="113"/>
    </row>
    <row r="165" spans="1:104">
      <c r="A165">
        <v>163</v>
      </c>
      <c r="B165" s="3">
        <v>42552</v>
      </c>
      <c r="C165" s="14" t="str">
        <f t="shared" si="132"/>
        <v>Julio</v>
      </c>
      <c r="D165" s="14">
        <f t="shared" si="151"/>
        <v>2016</v>
      </c>
      <c r="E165" s="15">
        <f t="shared" si="133"/>
        <v>204447.2782764174</v>
      </c>
      <c r="F165" s="15">
        <f t="shared" si="191"/>
        <v>5670.5408979978356</v>
      </c>
      <c r="G165" s="56">
        <v>2284.9892885099998</v>
      </c>
      <c r="H165" s="4">
        <f t="shared" si="152"/>
        <v>1.1176423123719172</v>
      </c>
      <c r="I165" s="4">
        <f>SUMIFS($G$3:$G165,$D$3:$D165,D165)</f>
        <v>15511.322865858001</v>
      </c>
      <c r="J165" s="2">
        <f t="shared" si="159"/>
        <v>27198.026334003</v>
      </c>
      <c r="K165" s="95">
        <f t="shared" si="166"/>
        <v>4.255269982957488E-2</v>
      </c>
      <c r="L165" s="95">
        <f t="shared" si="167"/>
        <v>5.2949183791900056E-2</v>
      </c>
      <c r="M165" s="95">
        <f t="shared" si="182"/>
        <v>6.1162637745868054E-2</v>
      </c>
      <c r="N165" s="4">
        <v>1714.3391355309998</v>
      </c>
      <c r="O165" s="4">
        <f t="shared" si="135"/>
        <v>0.83852382383548985</v>
      </c>
      <c r="P165" s="4">
        <f>SUMIFS($N$3:$N165,$D$3:$D165,D165)</f>
        <v>11113.77704056</v>
      </c>
      <c r="Q165" s="4">
        <f t="shared" si="155"/>
        <v>18631.082900389003</v>
      </c>
      <c r="R165" s="97">
        <f t="shared" si="168"/>
        <v>1.6827418116704962E-5</v>
      </c>
      <c r="S165" s="97">
        <f t="shared" si="169"/>
        <v>5.1475494586747716E-2</v>
      </c>
      <c r="T165" s="97">
        <f t="shared" si="183"/>
        <v>3.2808843715406377E-2</v>
      </c>
      <c r="U165" s="4">
        <v>1195.6065315839996</v>
      </c>
      <c r="V165" s="4">
        <f t="shared" si="160"/>
        <v>11130.502862808</v>
      </c>
      <c r="W165" s="97">
        <f t="shared" si="188"/>
        <v>0.103283845661573</v>
      </c>
      <c r="X165" s="97">
        <f t="shared" si="170"/>
        <v>0.18386390939711528</v>
      </c>
      <c r="Y165" s="4">
        <v>548.56958391600006</v>
      </c>
      <c r="Z165" s="4">
        <f t="shared" si="161"/>
        <v>7445.6640699850004</v>
      </c>
      <c r="AA165" s="97">
        <f t="shared" si="189"/>
        <v>-5.090285088070956E-2</v>
      </c>
      <c r="AB165" s="97">
        <f t="shared" si="171"/>
        <v>-0.2054441746075244</v>
      </c>
      <c r="AC165" s="4">
        <v>86.914524073999999</v>
      </c>
      <c r="AD165" s="4">
        <f t="shared" si="136"/>
        <v>4.2511949685380288E-2</v>
      </c>
      <c r="AE165" s="4">
        <v>493.93524095700002</v>
      </c>
      <c r="AF165" s="4">
        <f t="shared" si="137"/>
        <v>0.24159541037723584</v>
      </c>
      <c r="AG165" s="4">
        <v>-10.19961205200002</v>
      </c>
      <c r="AH165" s="4">
        <f t="shared" si="138"/>
        <v>-1.7987017879725224</v>
      </c>
      <c r="AI165" s="4">
        <v>171.793434225</v>
      </c>
      <c r="AJ165" s="4">
        <f t="shared" si="139"/>
        <v>24.70737623787295</v>
      </c>
      <c r="AK165" s="101">
        <f>SUMIFS($AJ$3:$AJ165,$D$3:$D165,D165)</f>
        <v>188.30583314294725</v>
      </c>
      <c r="AL165" s="4">
        <v>15.9079508</v>
      </c>
      <c r="AM165" s="4">
        <f t="shared" si="140"/>
        <v>2.287885607283441</v>
      </c>
      <c r="AN165" s="101">
        <f>SUMIFS($AM$3:$AM165,$D$3:$D165,D165)</f>
        <v>40.384023515571172</v>
      </c>
      <c r="AO165" s="4">
        <f t="shared" si="153"/>
        <v>-197.90099707700003</v>
      </c>
      <c r="AP165" s="56">
        <v>2270.6126700519999</v>
      </c>
      <c r="AQ165" s="4">
        <f t="shared" si="141"/>
        <v>1.110610368205577</v>
      </c>
      <c r="AR165" s="4">
        <f>SUMIFS($AP$3:$AP165,$D$3:$D165,D165)</f>
        <v>14505.266356890001</v>
      </c>
      <c r="AS165" s="4">
        <f t="shared" si="162"/>
        <v>25970.310812285996</v>
      </c>
      <c r="AT165" s="97">
        <f t="shared" si="172"/>
        <v>-4.9080935070611176E-6</v>
      </c>
      <c r="AU165" s="97">
        <f t="shared" si="173"/>
        <v>4.5514558142040418E-2</v>
      </c>
      <c r="AV165" s="98">
        <f t="shared" si="184"/>
        <v>5.3913056224573319E-2</v>
      </c>
      <c r="AW165" s="4">
        <v>1027.5075199579999</v>
      </c>
      <c r="AX165" s="4">
        <f>SUMIFS($AW$3:$AW165,$D$3:$D165,D165)</f>
        <v>7082.3147442279997</v>
      </c>
      <c r="AY165" s="4">
        <f t="shared" si="163"/>
        <v>13253.604843286999</v>
      </c>
      <c r="AZ165" s="97">
        <f t="shared" si="174"/>
        <v>1.874455533407815E-2</v>
      </c>
      <c r="BA165" s="97">
        <f t="shared" si="175"/>
        <v>8.5197241732877238E-3</v>
      </c>
      <c r="BB165" s="97">
        <f t="shared" si="190"/>
        <v>4.0596174026631626E-2</v>
      </c>
      <c r="BC165" s="4">
        <v>692.02825034600005</v>
      </c>
      <c r="BD165" s="4">
        <f t="shared" si="154"/>
        <v>335.47926961199983</v>
      </c>
      <c r="BE165" s="4">
        <v>170.836014363</v>
      </c>
      <c r="BF165" s="4">
        <v>323.09803095500001</v>
      </c>
      <c r="BG165" s="4">
        <f t="shared" si="142"/>
        <v>46.468042556654389</v>
      </c>
      <c r="BH165" s="4">
        <f>Datos1[[#This Row],[Intereses]]/Datos1[[#This Row],[PIB nominal (miles de millones de G.)]]*100</f>
        <v>0.15803488981553673</v>
      </c>
      <c r="BI165" s="4">
        <v>321.222109612</v>
      </c>
      <c r="BJ165" s="4">
        <v>342.465321668</v>
      </c>
      <c r="BK165" s="4">
        <v>85.483673495999994</v>
      </c>
      <c r="BL165" s="56">
        <f t="shared" si="192"/>
        <v>14.376618457999939</v>
      </c>
      <c r="BM165" s="56">
        <f>SUMIFS($BL$3:$BL165,$D$3:$D165,D165)</f>
        <v>1006.0565089680003</v>
      </c>
      <c r="BN165" s="56">
        <f t="shared" si="156"/>
        <v>1227.7155217169995</v>
      </c>
      <c r="BO165" s="100">
        <f t="shared" si="176"/>
        <v>-1.1429957827146198</v>
      </c>
      <c r="BP165" s="100">
        <f t="shared" si="177"/>
        <v>1.6408102599827501E-3</v>
      </c>
      <c r="BQ165" s="100">
        <f t="shared" si="185"/>
        <v>0.24186408029527295</v>
      </c>
      <c r="BR165" s="2">
        <f t="shared" si="144"/>
        <v>7.0319441663402437E-3</v>
      </c>
      <c r="BS165" s="2">
        <f>+Datos1[[#This Row],[RON acumulado 12 meses]]/Datos1[[#This Row],[PIB nominal (miles de millones de G.)]]*100</f>
        <v>0.6005047032502433</v>
      </c>
      <c r="BT165" s="56">
        <v>408.60933009700005</v>
      </c>
      <c r="BU165" s="56">
        <f>SUMIFS($BT$3:$BT165,$D$3:$D165,D165)</f>
        <v>2093.5476031409999</v>
      </c>
      <c r="BV165" s="56">
        <f t="shared" si="164"/>
        <v>4251.2376022339995</v>
      </c>
      <c r="BW165" s="100">
        <f t="shared" si="178"/>
        <v>0.42482227424926444</v>
      </c>
      <c r="BX165" s="100">
        <f t="shared" si="179"/>
        <v>0.31561710517461905</v>
      </c>
      <c r="BY165" s="100">
        <f t="shared" si="186"/>
        <v>0.17875341691920488</v>
      </c>
      <c r="BZ165" s="56">
        <f t="shared" si="145"/>
        <v>58.766299763175972</v>
      </c>
      <c r="CA165" s="56">
        <f>Datos1[[#This Row],[Adquisición Neta de Activos no Financieros]]/Datos1[[#This Row],[PIB nominal (miles de millones de G.)]]*100</f>
        <v>0.19986048899342687</v>
      </c>
      <c r="CB165" s="56">
        <f>+Datos1[[#This Row],[ANANF acumulado por año]]/Datos1[[#This Row],[PIB nominal (miles de millones de G.)]]*100</f>
        <v>1.0240036555098941</v>
      </c>
      <c r="CC165" s="56">
        <f>+Datos1[[#This Row],[ANANF acumulado 12 meses]]/Datos1[[#This Row],[PIB nominal (miles de millones de G.)]]*100</f>
        <v>2.0793808741666049</v>
      </c>
      <c r="CD165" s="4">
        <v>284.11322647200001</v>
      </c>
      <c r="CE165" s="4">
        <f t="shared" si="146"/>
        <v>40.861237871325926</v>
      </c>
      <c r="CF165" s="4">
        <f t="shared" si="147"/>
        <v>124.49610362500005</v>
      </c>
      <c r="CG165" s="4">
        <f t="shared" si="148"/>
        <v>17.905061891850046</v>
      </c>
      <c r="CH165" s="56">
        <f t="shared" si="149"/>
        <v>-394.23271163900012</v>
      </c>
      <c r="CI165" s="56">
        <f>SUMIFS($CH$3:$CH165,$D$3:$D165,D165)</f>
        <v>-1087.4910941729997</v>
      </c>
      <c r="CJ165" s="56">
        <f t="shared" si="157"/>
        <v>-3023.5220805170006</v>
      </c>
      <c r="CK165" s="56">
        <f>Datos1[[#This Row],[Resultado Fiscal (miles de millones de G.)]]*1000/$F$207</f>
        <v>-56.698650770229399</v>
      </c>
      <c r="CL165" s="56">
        <f t="shared" si="165"/>
        <v>-434.8437292953239</v>
      </c>
      <c r="CM165" s="100">
        <f t="shared" si="180"/>
        <v>1.7853025461745498E-2</v>
      </c>
      <c r="CN165" s="100">
        <f t="shared" si="181"/>
        <v>0.85295311517384254</v>
      </c>
      <c r="CO165" s="100">
        <f t="shared" si="187"/>
        <v>0.15492113592343171</v>
      </c>
      <c r="CP165" s="4">
        <f t="shared" si="150"/>
        <v>-0.19282854482708664</v>
      </c>
      <c r="CQ165" s="4">
        <f t="shared" si="158"/>
        <v>-1.478876170916362</v>
      </c>
      <c r="CR165" s="73">
        <v>1102.9699692740001</v>
      </c>
      <c r="CS165" s="113">
        <f>SUM(Datos1[[#This Row],[FFPP]:[MTESS]])</f>
        <v>0</v>
      </c>
      <c r="CT165" s="113"/>
      <c r="CU165" s="113"/>
      <c r="CV165" s="113"/>
      <c r="CW165" s="113"/>
      <c r="CX165" s="113"/>
      <c r="CY165" s="113"/>
      <c r="CZ165" s="113"/>
    </row>
    <row r="166" spans="1:104">
      <c r="A166">
        <v>164</v>
      </c>
      <c r="B166" s="3">
        <v>42583</v>
      </c>
      <c r="C166" s="14" t="str">
        <f t="shared" si="132"/>
        <v>Agosto</v>
      </c>
      <c r="D166" s="14">
        <f t="shared" si="151"/>
        <v>2016</v>
      </c>
      <c r="E166" s="15">
        <f t="shared" si="133"/>
        <v>204447.2782764174</v>
      </c>
      <c r="F166" s="15">
        <f t="shared" si="191"/>
        <v>5670.5408979978356</v>
      </c>
      <c r="G166" s="56">
        <v>2562.3335442820003</v>
      </c>
      <c r="H166" s="4">
        <f t="shared" si="152"/>
        <v>1.2532979484410971</v>
      </c>
      <c r="I166" s="4">
        <f>SUMIFS($G$3:$G166,$D$3:$D166,D166)</f>
        <v>18073.65641014</v>
      </c>
      <c r="J166" s="2">
        <f t="shared" si="159"/>
        <v>27821.692854489997</v>
      </c>
      <c r="K166" s="95">
        <f t="shared" si="166"/>
        <v>7.4732922930599077E-2</v>
      </c>
      <c r="L166" s="95">
        <f t="shared" si="167"/>
        <v>0.32169862737240673</v>
      </c>
      <c r="M166" s="95">
        <f t="shared" si="182"/>
        <v>7.1505572145232899E-2</v>
      </c>
      <c r="N166" s="4">
        <v>1482.3576739470002</v>
      </c>
      <c r="O166" s="4">
        <f t="shared" si="135"/>
        <v>0.7250562034593675</v>
      </c>
      <c r="P166" s="4">
        <f>SUMIFS($N$3:$N166,$D$3:$D166,D166)</f>
        <v>12596.134714507001</v>
      </c>
      <c r="Q166" s="4">
        <f t="shared" si="155"/>
        <v>18856.634731798003</v>
      </c>
      <c r="R166" s="97">
        <f t="shared" si="168"/>
        <v>0.17946434029421732</v>
      </c>
      <c r="S166" s="97">
        <f t="shared" si="169"/>
        <v>6.5076906230285614E-2</v>
      </c>
      <c r="T166" s="97">
        <f t="shared" si="183"/>
        <v>4.2114559455854961E-2</v>
      </c>
      <c r="U166" s="4">
        <v>736.35944490599991</v>
      </c>
      <c r="V166" s="4">
        <f t="shared" si="160"/>
        <v>11239.830376195001</v>
      </c>
      <c r="W166" s="97">
        <f t="shared" si="188"/>
        <v>0.11130288629034468</v>
      </c>
      <c r="X166" s="97">
        <f t="shared" si="170"/>
        <v>0.17435717049074584</v>
      </c>
      <c r="Y166" s="4">
        <v>693.45206919000009</v>
      </c>
      <c r="Z166" s="4">
        <f t="shared" si="161"/>
        <v>7475.0060340459995</v>
      </c>
      <c r="AA166" s="97">
        <f t="shared" si="189"/>
        <v>-4.5628726486909965E-2</v>
      </c>
      <c r="AB166" s="97">
        <f t="shared" si="171"/>
        <v>4.4182378545949641E-2</v>
      </c>
      <c r="AC166" s="4">
        <v>122.560667181</v>
      </c>
      <c r="AD166" s="4">
        <f t="shared" si="136"/>
        <v>5.994732148759406E-2</v>
      </c>
      <c r="AE166" s="4">
        <v>61.386517261999998</v>
      </c>
      <c r="AF166" s="4">
        <f t="shared" si="137"/>
        <v>3.0025597689299643E-2</v>
      </c>
      <c r="AG166" s="4">
        <v>896.028685892</v>
      </c>
      <c r="AH166" s="4">
        <f t="shared" si="138"/>
        <v>158.01467655552423</v>
      </c>
      <c r="AI166" s="4">
        <v>761.61594965500001</v>
      </c>
      <c r="AJ166" s="4">
        <f t="shared" si="139"/>
        <v>109.53580328480676</v>
      </c>
      <c r="AK166" s="101">
        <f>SUMIFS($AJ$3:$AJ166,$D$3:$D166,D166)</f>
        <v>297.841636427754</v>
      </c>
      <c r="AL166" s="4">
        <v>0</v>
      </c>
      <c r="AM166" s="4">
        <f t="shared" si="140"/>
        <v>0</v>
      </c>
      <c r="AN166" s="101">
        <f>SUMIFS($AM$3:$AM166,$D$3:$D166,D166)</f>
        <v>40.384023515571172</v>
      </c>
      <c r="AO166" s="4">
        <f t="shared" si="153"/>
        <v>134.41273623699999</v>
      </c>
      <c r="AP166" s="56">
        <v>1973.653601061</v>
      </c>
      <c r="AQ166" s="4">
        <f t="shared" si="141"/>
        <v>0.9653606630030922</v>
      </c>
      <c r="AR166" s="4">
        <f>SUMIFS($AP$3:$AP166,$D$3:$D166,D166)</f>
        <v>16478.919957951002</v>
      </c>
      <c r="AS166" s="4">
        <f t="shared" si="162"/>
        <v>25789.273957502995</v>
      </c>
      <c r="AT166" s="97">
        <f t="shared" si="172"/>
        <v>-8.4019889860275643E-2</v>
      </c>
      <c r="AU166" s="97">
        <f t="shared" si="173"/>
        <v>2.8101406750452362E-2</v>
      </c>
      <c r="AV166" s="98">
        <f t="shared" si="184"/>
        <v>3.2642340513993506E-2</v>
      </c>
      <c r="AW166" s="4">
        <v>1012.276711703</v>
      </c>
      <c r="AX166" s="4">
        <f>SUMIFS($AW$3:$AW166,$D$3:$D166,D166)</f>
        <v>8094.5914559309995</v>
      </c>
      <c r="AY166" s="4">
        <f t="shared" si="163"/>
        <v>13253.50553025</v>
      </c>
      <c r="AZ166" s="97">
        <f t="shared" si="174"/>
        <v>-9.8098961821557751E-5</v>
      </c>
      <c r="BA166" s="97">
        <f t="shared" si="175"/>
        <v>7.4338961318074492E-3</v>
      </c>
      <c r="BB166" s="97">
        <f t="shared" si="190"/>
        <v>3.3184725881901134E-2</v>
      </c>
      <c r="BC166" s="4">
        <v>692.31747305299996</v>
      </c>
      <c r="BD166" s="4">
        <f t="shared" si="154"/>
        <v>319.95923865000009</v>
      </c>
      <c r="BE166" s="4">
        <v>183.31216261399999</v>
      </c>
      <c r="BF166" s="4">
        <v>64.470358155</v>
      </c>
      <c r="BG166" s="4">
        <f t="shared" si="142"/>
        <v>9.2721436201093308</v>
      </c>
      <c r="BH166" s="4">
        <f>Datos1[[#This Row],[Intereses]]/Datos1[[#This Row],[PIB nominal (miles de millones de G.)]]*100</f>
        <v>3.1533977218241367E-2</v>
      </c>
      <c r="BI166" s="4">
        <v>312.47085039299998</v>
      </c>
      <c r="BJ166" s="4">
        <v>309.959534443</v>
      </c>
      <c r="BK166" s="4">
        <v>91.163983752999997</v>
      </c>
      <c r="BL166" s="56">
        <f t="shared" si="192"/>
        <v>588.67994322100026</v>
      </c>
      <c r="BM166" s="56">
        <f>SUMIFS($BL$3:$BL166,$D$3:$D166,D166)</f>
        <v>1594.7364521890006</v>
      </c>
      <c r="BN166" s="56">
        <f t="shared" si="156"/>
        <v>2032.4188969869999</v>
      </c>
      <c r="BO166" s="100">
        <f t="shared" si="176"/>
        <v>-3.7250744867689689</v>
      </c>
      <c r="BP166" s="100">
        <f t="shared" si="177"/>
        <v>1.022788846850613</v>
      </c>
      <c r="BQ166" s="100">
        <f t="shared" si="185"/>
        <v>1.0509074704501784</v>
      </c>
      <c r="BR166" s="2">
        <f t="shared" si="144"/>
        <v>0.28793728543800495</v>
      </c>
      <c r="BS166" s="2">
        <f>+Datos1[[#This Row],[RON acumulado 12 meses]]/Datos1[[#This Row],[PIB nominal (miles de millones de G.)]]*100</f>
        <v>0.99410415933203233</v>
      </c>
      <c r="BT166" s="56">
        <v>419.098312652</v>
      </c>
      <c r="BU166" s="56">
        <f>SUMIFS($BT$3:$BT166,$D$3:$D166,D166)</f>
        <v>2512.6459157929999</v>
      </c>
      <c r="BV166" s="56">
        <f t="shared" si="164"/>
        <v>4358.9112217519996</v>
      </c>
      <c r="BW166" s="100">
        <f t="shared" si="178"/>
        <v>0.34574528575250163</v>
      </c>
      <c r="BX166" s="100">
        <f t="shared" si="179"/>
        <v>0.32054826339597642</v>
      </c>
      <c r="BY166" s="100">
        <f t="shared" si="186"/>
        <v>0.18435918981338717</v>
      </c>
      <c r="BZ166" s="56">
        <f t="shared" si="145"/>
        <v>60.274827952905561</v>
      </c>
      <c r="CA166" s="56">
        <f>Datos1[[#This Row],[Adquisición Neta de Activos no Financieros]]/Datos1[[#This Row],[PIB nominal (miles de millones de G.)]]*100</f>
        <v>0.20499089847768456</v>
      </c>
      <c r="CB166" s="56">
        <f>+Datos1[[#This Row],[ANANF acumulado por año]]/Datos1[[#This Row],[PIB nominal (miles de millones de G.)]]*100</f>
        <v>1.2289945539875786</v>
      </c>
      <c r="CC166" s="56">
        <f>+Datos1[[#This Row],[ANANF acumulado 12 meses]]/Datos1[[#This Row],[PIB nominal (miles de millones de G.)]]*100</f>
        <v>2.1320465884895041</v>
      </c>
      <c r="CD166" s="4">
        <v>313.40273666999997</v>
      </c>
      <c r="CE166" s="4">
        <f t="shared" si="146"/>
        <v>45.073662819634521</v>
      </c>
      <c r="CF166" s="4">
        <f t="shared" si="147"/>
        <v>105.69557598200004</v>
      </c>
      <c r="CG166" s="4">
        <f t="shared" si="148"/>
        <v>15.201165133271045</v>
      </c>
      <c r="CH166" s="56">
        <f t="shared" si="149"/>
        <v>169.58163056900025</v>
      </c>
      <c r="CI166" s="56">
        <f>SUMIFS($CH$3:$CH166,$D$3:$D166,D166)</f>
        <v>-917.90946360399948</v>
      </c>
      <c r="CJ166" s="56">
        <f t="shared" si="157"/>
        <v>-2326.4923247650004</v>
      </c>
      <c r="CK166" s="56">
        <f>Datos1[[#This Row],[Resultado Fiscal (miles de millones de G.)]]*1000/$F$207</f>
        <v>24.389274062783329</v>
      </c>
      <c r="CL166" s="56">
        <f t="shared" si="165"/>
        <v>-334.59672915792748</v>
      </c>
      <c r="CM166" s="100">
        <f t="shared" si="180"/>
        <v>-1.3215133820224751</v>
      </c>
      <c r="CN166" s="100">
        <f t="shared" si="181"/>
        <v>-0.17627840501876746</v>
      </c>
      <c r="CO166" s="100">
        <f t="shared" si="187"/>
        <v>-0.13494360455221144</v>
      </c>
      <c r="CP166" s="4">
        <f t="shared" si="150"/>
        <v>8.2946386960320403E-2</v>
      </c>
      <c r="CQ166" s="4">
        <f t="shared" si="158"/>
        <v>-1.1379424291574718</v>
      </c>
      <c r="CR166" s="73">
        <v>1090.8935558129999</v>
      </c>
      <c r="CS166" s="113">
        <f>SUM(Datos1[[#This Row],[FFPP]:[MTESS]])</f>
        <v>0</v>
      </c>
      <c r="CT166" s="113"/>
      <c r="CU166" s="113"/>
      <c r="CV166" s="113"/>
      <c r="CW166" s="113"/>
      <c r="CX166" s="113"/>
      <c r="CY166" s="113"/>
      <c r="CZ166" s="113"/>
    </row>
    <row r="167" spans="1:104">
      <c r="A167">
        <v>165</v>
      </c>
      <c r="B167" s="3">
        <v>42614</v>
      </c>
      <c r="C167" s="14" t="str">
        <f t="shared" si="132"/>
        <v>Septiembre</v>
      </c>
      <c r="D167" s="14">
        <f t="shared" si="151"/>
        <v>2016</v>
      </c>
      <c r="E167" s="15">
        <f t="shared" si="133"/>
        <v>204447.2782764174</v>
      </c>
      <c r="F167" s="15">
        <f t="shared" si="191"/>
        <v>5670.5408979978356</v>
      </c>
      <c r="G167" s="56">
        <v>2603.2254022309999</v>
      </c>
      <c r="H167" s="4">
        <f t="shared" si="152"/>
        <v>1.2732991234597799</v>
      </c>
      <c r="I167" s="4">
        <f>SUMIFS($G$3:$G167,$D$3:$D167,D167)</f>
        <v>20676.881812371001</v>
      </c>
      <c r="J167" s="2">
        <f t="shared" si="159"/>
        <v>28258.923939618002</v>
      </c>
      <c r="K167" s="95">
        <f t="shared" si="166"/>
        <v>8.9238627898543088E-2</v>
      </c>
      <c r="L167" s="95">
        <f t="shared" si="167"/>
        <v>0.20186160308711809</v>
      </c>
      <c r="M167" s="95">
        <f t="shared" si="182"/>
        <v>9.5157127424714494E-2</v>
      </c>
      <c r="N167" s="4">
        <v>1845.3134970729998</v>
      </c>
      <c r="O167" s="4">
        <f t="shared" si="135"/>
        <v>0.90258648226076832</v>
      </c>
      <c r="P167" s="4">
        <f>SUMIFS($N$3:$N167,$D$3:$D167,D167)</f>
        <v>14441.448211580002</v>
      </c>
      <c r="Q167" s="4">
        <f t="shared" si="155"/>
        <v>19023.262767422999</v>
      </c>
      <c r="R167" s="97">
        <f t="shared" si="168"/>
        <v>9.9261022658330367E-2</v>
      </c>
      <c r="S167" s="97">
        <f t="shared" si="169"/>
        <v>6.9325968097702972E-2</v>
      </c>
      <c r="T167" s="97">
        <f t="shared" si="183"/>
        <v>5.0538237264209585E-2</v>
      </c>
      <c r="U167" s="4">
        <v>1151.5700319039997</v>
      </c>
      <c r="V167" s="4">
        <f t="shared" si="160"/>
        <v>11410.602488140001</v>
      </c>
      <c r="W167" s="97">
        <f t="shared" si="188"/>
        <v>0.12657840363028616</v>
      </c>
      <c r="X167" s="97">
        <f t="shared" si="170"/>
        <v>0.17411549155012351</v>
      </c>
      <c r="Y167" s="4">
        <v>724.90085286699991</v>
      </c>
      <c r="Z167" s="4">
        <f t="shared" si="161"/>
        <v>7533.7670214250002</v>
      </c>
      <c r="AA167" s="97">
        <f t="shared" si="189"/>
        <v>-3.9719307233024637E-2</v>
      </c>
      <c r="AB167" s="97">
        <f t="shared" si="171"/>
        <v>8.8211185703400252E-2</v>
      </c>
      <c r="AC167" s="4">
        <v>159.14570313499999</v>
      </c>
      <c r="AD167" s="4">
        <f t="shared" si="136"/>
        <v>7.7841927990761201E-2</v>
      </c>
      <c r="AE167" s="4">
        <v>60.116613728000004</v>
      </c>
      <c r="AF167" s="4">
        <f t="shared" si="137"/>
        <v>2.9404457831285466E-2</v>
      </c>
      <c r="AG167" s="4">
        <v>538.64958829500006</v>
      </c>
      <c r="AH167" s="4">
        <f t="shared" si="138"/>
        <v>94.990865595412131</v>
      </c>
      <c r="AI167" s="4">
        <v>400.75938085199999</v>
      </c>
      <c r="AJ167" s="4">
        <f t="shared" si="139"/>
        <v>57.637318028109171</v>
      </c>
      <c r="AK167" s="101">
        <f>SUMIFS($AJ$3:$AJ167,$D$3:$D167,D167)</f>
        <v>355.47895445586317</v>
      </c>
      <c r="AL167" s="4">
        <v>33.360839999999996</v>
      </c>
      <c r="AM167" s="4">
        <f t="shared" si="140"/>
        <v>4.7979646556919011</v>
      </c>
      <c r="AN167" s="101">
        <f>SUMIFS($AM$3:$AM167,$D$3:$D167,D167)</f>
        <v>45.181988171263072</v>
      </c>
      <c r="AO167" s="4">
        <f t="shared" si="153"/>
        <v>104.52936744300007</v>
      </c>
      <c r="AP167" s="56">
        <v>2130.8788707849999</v>
      </c>
      <c r="AQ167" s="4">
        <f t="shared" si="141"/>
        <v>1.0422632615847314</v>
      </c>
      <c r="AR167" s="4">
        <f>SUMIFS($AP$3:$AP167,$D$3:$D167,D167)</f>
        <v>18609.798828736002</v>
      </c>
      <c r="AS167" s="4">
        <f t="shared" si="162"/>
        <v>25897.100108307997</v>
      </c>
      <c r="AT167" s="97">
        <f t="shared" si="172"/>
        <v>5.3298734995925079E-2</v>
      </c>
      <c r="AU167" s="97">
        <f t="shared" si="173"/>
        <v>3.0925293076633276E-2</v>
      </c>
      <c r="AV167" s="98">
        <f t="shared" si="184"/>
        <v>3.0530825390786109E-2</v>
      </c>
      <c r="AW167" s="4">
        <v>1017.1350831300002</v>
      </c>
      <c r="AX167" s="4">
        <f>SUMIFS($AW$3:$AW167,$D$3:$D167,D167)</f>
        <v>9111.7265390609991</v>
      </c>
      <c r="AY167" s="4">
        <f t="shared" si="163"/>
        <v>13215.123989751</v>
      </c>
      <c r="AZ167" s="97">
        <f t="shared" si="174"/>
        <v>-3.6362800584835209E-2</v>
      </c>
      <c r="BA167" s="97">
        <f t="shared" si="175"/>
        <v>2.3485033480390438E-3</v>
      </c>
      <c r="BB167" s="97">
        <f t="shared" si="190"/>
        <v>2.3586252623947646E-2</v>
      </c>
      <c r="BC167" s="4">
        <v>690.83780014900003</v>
      </c>
      <c r="BD167" s="4">
        <f t="shared" si="154"/>
        <v>326.29728298100019</v>
      </c>
      <c r="BE167" s="4">
        <v>172.85301700100001</v>
      </c>
      <c r="BF167" s="4">
        <v>48.008867545000001</v>
      </c>
      <c r="BG167" s="4">
        <f t="shared" si="142"/>
        <v>6.9046477738781169</v>
      </c>
      <c r="BH167" s="4">
        <f>Datos1[[#This Row],[Intereses]]/Datos1[[#This Row],[PIB nominal (miles de millones de G.)]]*100</f>
        <v>2.3482272764761832E-2</v>
      </c>
      <c r="BI167" s="4">
        <v>445.57430110299998</v>
      </c>
      <c r="BJ167" s="4">
        <v>348.99125207399999</v>
      </c>
      <c r="BK167" s="4">
        <v>98.316349931999994</v>
      </c>
      <c r="BL167" s="56">
        <f t="shared" si="192"/>
        <v>472.34653144599997</v>
      </c>
      <c r="BM167" s="56">
        <f>SUMIFS($BL$3:$BL167,$D$3:$D167,D167)</f>
        <v>2067.0829836350003</v>
      </c>
      <c r="BN167" s="56">
        <f t="shared" si="156"/>
        <v>2361.8238313100001</v>
      </c>
      <c r="BO167" s="100">
        <f t="shared" si="176"/>
        <v>2.3044721827163417</v>
      </c>
      <c r="BP167" s="100">
        <f t="shared" si="177"/>
        <v>1.2195037877411741</v>
      </c>
      <c r="BQ167" s="100">
        <f t="shared" si="185"/>
        <v>2.505910433690242</v>
      </c>
      <c r="BR167" s="2">
        <f t="shared" si="144"/>
        <v>0.2310358618750486</v>
      </c>
      <c r="BS167" s="2">
        <f>+Datos1[[#This Row],[RON acumulado 12 meses]]/Datos1[[#This Row],[PIB nominal (miles de millones de G.)]]*100</f>
        <v>1.1552239047744917</v>
      </c>
      <c r="BT167" s="56">
        <v>365.21336429000002</v>
      </c>
      <c r="BU167" s="56">
        <f>SUMIFS($BT$3:$BT167,$D$3:$D167,D167)</f>
        <v>2877.8592800829997</v>
      </c>
      <c r="BV167" s="56">
        <f t="shared" si="164"/>
        <v>4340.5276039300006</v>
      </c>
      <c r="BW167" s="100">
        <f t="shared" si="178"/>
        <v>-4.7924302534352203E-2</v>
      </c>
      <c r="BX167" s="100">
        <f t="shared" si="179"/>
        <v>0.25872639511043349</v>
      </c>
      <c r="BY167" s="100">
        <f t="shared" si="186"/>
        <v>0.1509460102261031</v>
      </c>
      <c r="BZ167" s="56">
        <f t="shared" si="145"/>
        <v>52.525080712888247</v>
      </c>
      <c r="CA167" s="56">
        <f>Datos1[[#This Row],[Adquisición Neta de Activos no Financieros]]/Datos1[[#This Row],[PIB nominal (miles de millones de G.)]]*100</f>
        <v>0.17863449558679045</v>
      </c>
      <c r="CB167" s="56">
        <f>+Datos1[[#This Row],[ANANF acumulado por año]]/Datos1[[#This Row],[PIB nominal (miles de millones de G.)]]*100</f>
        <v>1.4076290495743691</v>
      </c>
      <c r="CC167" s="56">
        <f>+Datos1[[#This Row],[ANANF acumulado 12 meses]]/Datos1[[#This Row],[PIB nominal (miles de millones de G.)]]*100</f>
        <v>2.1230547261487667</v>
      </c>
      <c r="CD167" s="4">
        <v>227.87319914700001</v>
      </c>
      <c r="CE167" s="4">
        <f t="shared" si="146"/>
        <v>32.772782564430273</v>
      </c>
      <c r="CF167" s="4">
        <f t="shared" si="147"/>
        <v>137.34016514300001</v>
      </c>
      <c r="CG167" s="4">
        <f t="shared" si="148"/>
        <v>19.752298148457982</v>
      </c>
      <c r="CH167" s="56">
        <f t="shared" si="149"/>
        <v>107.13316715599996</v>
      </c>
      <c r="CI167" s="56">
        <f>SUMIFS($CH$3:$CH167,$D$3:$D167,D167)</f>
        <v>-810.77629644799958</v>
      </c>
      <c r="CJ167" s="56">
        <f t="shared" si="157"/>
        <v>-1978.7037726199999</v>
      </c>
      <c r="CK167" s="56">
        <f>Datos1[[#This Row],[Resultado Fiscal (miles de millones de G.)]]*1000/$F$207</f>
        <v>15.407919868529097</v>
      </c>
      <c r="CL167" s="56">
        <f t="shared" si="165"/>
        <v>-284.57768944412032</v>
      </c>
      <c r="CM167" s="100">
        <f t="shared" si="180"/>
        <v>-1.4451725323366311</v>
      </c>
      <c r="CN167" s="100">
        <f t="shared" si="181"/>
        <v>-0.40164097023071621</v>
      </c>
      <c r="CO167" s="100">
        <f t="shared" si="187"/>
        <v>-0.36121398442095043</v>
      </c>
      <c r="CP167" s="4">
        <f t="shared" si="150"/>
        <v>5.2401366288258165E-2</v>
      </c>
      <c r="CQ167" s="4">
        <f t="shared" si="158"/>
        <v>-0.96783082137427479</v>
      </c>
      <c r="CR167" s="73">
        <v>1092.6644116560001</v>
      </c>
      <c r="CS167" s="113">
        <f>SUM(Datos1[[#This Row],[FFPP]:[MTESS]])</f>
        <v>0</v>
      </c>
      <c r="CT167" s="113"/>
      <c r="CU167" s="113"/>
      <c r="CV167" s="113"/>
      <c r="CW167" s="113"/>
      <c r="CX167" s="113"/>
      <c r="CY167" s="113"/>
      <c r="CZ167" s="113"/>
    </row>
    <row r="168" spans="1:104">
      <c r="A168">
        <v>166</v>
      </c>
      <c r="B168" s="3">
        <v>42644</v>
      </c>
      <c r="C168" s="14" t="str">
        <f t="shared" si="132"/>
        <v>Octubre</v>
      </c>
      <c r="D168" s="14">
        <f t="shared" si="151"/>
        <v>2016</v>
      </c>
      <c r="E168" s="15">
        <f t="shared" si="133"/>
        <v>204447.2782764174</v>
      </c>
      <c r="F168" s="15">
        <f t="shared" si="191"/>
        <v>5670.5408979978356</v>
      </c>
      <c r="G168" s="56">
        <v>2133.5261382980002</v>
      </c>
      <c r="H168" s="4">
        <f t="shared" si="152"/>
        <v>1.0435581027463832</v>
      </c>
      <c r="I168" s="4">
        <f>SUMIFS($G$3:$G168,$D$3:$D168,D168)</f>
        <v>22810.407950669</v>
      </c>
      <c r="J168" s="2">
        <f t="shared" si="159"/>
        <v>28247.237548605997</v>
      </c>
      <c r="K168" s="95">
        <f t="shared" si="166"/>
        <v>7.9624780751114788E-2</v>
      </c>
      <c r="L168" s="95">
        <f t="shared" si="167"/>
        <v>-5.4476611768433658E-3</v>
      </c>
      <c r="M168" s="95">
        <f t="shared" si="182"/>
        <v>9.0036771241709834E-2</v>
      </c>
      <c r="N168" s="4">
        <v>1488.2489533030002</v>
      </c>
      <c r="O168" s="4">
        <f t="shared" si="135"/>
        <v>0.7279377675504457</v>
      </c>
      <c r="P168" s="4">
        <f>SUMIFS($N$3:$N168,$D$3:$D168,D168)</f>
        <v>15929.697164883002</v>
      </c>
      <c r="Q168" s="4">
        <f t="shared" si="155"/>
        <v>19015.591286732997</v>
      </c>
      <c r="R168" s="97">
        <f t="shared" si="168"/>
        <v>-5.1282678648374436E-3</v>
      </c>
      <c r="S168" s="97">
        <f t="shared" si="169"/>
        <v>6.1901342536956783E-2</v>
      </c>
      <c r="T168" s="97">
        <f t="shared" si="183"/>
        <v>5.4032652580347396E-2</v>
      </c>
      <c r="U168" s="4">
        <v>842.65484034300016</v>
      </c>
      <c r="V168" s="4">
        <f t="shared" si="160"/>
        <v>11435.149810561003</v>
      </c>
      <c r="W168" s="97">
        <f t="shared" si="188"/>
        <v>0.11827195261191936</v>
      </c>
      <c r="X168" s="97">
        <f t="shared" si="170"/>
        <v>3.0005007756621849E-2</v>
      </c>
      <c r="Y168" s="4">
        <v>679.42526999699987</v>
      </c>
      <c r="Z168" s="4">
        <f t="shared" si="161"/>
        <v>7529.0441545229996</v>
      </c>
      <c r="AA168" s="97">
        <f t="shared" si="189"/>
        <v>-2.9207032923778242E-2</v>
      </c>
      <c r="AB168" s="97">
        <f t="shared" si="171"/>
        <v>-6.9032810984579474E-3</v>
      </c>
      <c r="AC168" s="4">
        <v>72.478298512999999</v>
      </c>
      <c r="AD168" s="4">
        <f t="shared" si="136"/>
        <v>3.5450850274958257E-2</v>
      </c>
      <c r="AE168" s="4">
        <v>59.966103193000002</v>
      </c>
      <c r="AF168" s="4">
        <f t="shared" si="137"/>
        <v>2.9330839568294208E-2</v>
      </c>
      <c r="AG168" s="4">
        <v>512.83278328900008</v>
      </c>
      <c r="AH168" s="4">
        <f t="shared" si="138"/>
        <v>90.43807151978605</v>
      </c>
      <c r="AI168" s="4">
        <v>283.28251901300001</v>
      </c>
      <c r="AJ168" s="4">
        <f t="shared" si="139"/>
        <v>40.741765309259094</v>
      </c>
      <c r="AK168" s="101">
        <f>SUMIFS($AJ$3:$AJ168,$D$3:$D168,D168)</f>
        <v>396.22071976512228</v>
      </c>
      <c r="AL168" s="4">
        <v>120.12840019000001</v>
      </c>
      <c r="AM168" s="4">
        <f t="shared" si="140"/>
        <v>17.276897651750748</v>
      </c>
      <c r="AN168" s="101">
        <f>SUMIFS($AM$3:$AM168,$D$3:$D168,D168)</f>
        <v>62.458885823013816</v>
      </c>
      <c r="AO168" s="4">
        <f t="shared" si="153"/>
        <v>109.42186408600006</v>
      </c>
      <c r="AP168" s="56">
        <v>2114.9638691660002</v>
      </c>
      <c r="AQ168" s="4">
        <f t="shared" si="141"/>
        <v>1.0344788578239328</v>
      </c>
      <c r="AR168" s="4">
        <f>SUMIFS($AP$3:$AP168,$D$3:$D168,D168)</f>
        <v>20724.762697902002</v>
      </c>
      <c r="AS168" s="4">
        <f t="shared" si="162"/>
        <v>26075.724160828002</v>
      </c>
      <c r="AT168" s="97">
        <f t="shared" si="172"/>
        <v>9.2248298043780874E-2</v>
      </c>
      <c r="AU168" s="97">
        <f t="shared" si="173"/>
        <v>3.6865999224366952E-2</v>
      </c>
      <c r="AV168" s="98">
        <f t="shared" si="184"/>
        <v>3.3603028541890012E-2</v>
      </c>
      <c r="AW168" s="4">
        <v>1022.4172562060003</v>
      </c>
      <c r="AX168" s="4">
        <f>SUMIFS($AW$3:$AW168,$D$3:$D168,D168)</f>
        <v>10134.143795266998</v>
      </c>
      <c r="AY168" s="4">
        <f t="shared" si="163"/>
        <v>13202.116089368003</v>
      </c>
      <c r="AZ168" s="97">
        <f t="shared" si="174"/>
        <v>-1.256285913107591E-2</v>
      </c>
      <c r="BA168" s="97">
        <f t="shared" si="175"/>
        <v>8.2372551437326358E-4</v>
      </c>
      <c r="BB168" s="97">
        <f t="shared" si="190"/>
        <v>1.6729312744629743E-2</v>
      </c>
      <c r="BC168" s="4">
        <v>691.13797934499996</v>
      </c>
      <c r="BD168" s="4">
        <f t="shared" si="154"/>
        <v>331.27927686100031</v>
      </c>
      <c r="BE168" s="4">
        <v>178.80301656399999</v>
      </c>
      <c r="BF168" s="4">
        <v>134.51157997199999</v>
      </c>
      <c r="BG168" s="4">
        <f t="shared" si="142"/>
        <v>19.345490296015647</v>
      </c>
      <c r="BH168" s="4">
        <f>Datos1[[#This Row],[Intereses]]/Datos1[[#This Row],[PIB nominal (miles de millones de G.)]]*100</f>
        <v>6.579279563220071E-2</v>
      </c>
      <c r="BI168" s="4">
        <v>334.80513602799999</v>
      </c>
      <c r="BJ168" s="4">
        <v>353.17803569199998</v>
      </c>
      <c r="BK168" s="4">
        <v>91.248844703999993</v>
      </c>
      <c r="BL168" s="56">
        <f t="shared" si="192"/>
        <v>18.562269131999983</v>
      </c>
      <c r="BM168" s="56">
        <f>SUMIFS($BL$3:$BL168,$D$3:$D168,D168)</f>
        <v>2085.6452527670003</v>
      </c>
      <c r="BN168" s="56">
        <f t="shared" si="156"/>
        <v>2171.5133877779995</v>
      </c>
      <c r="BO168" s="100">
        <f t="shared" si="176"/>
        <v>-0.91113119135930454</v>
      </c>
      <c r="BP168" s="100">
        <f t="shared" si="177"/>
        <v>0.82919352268339575</v>
      </c>
      <c r="BQ168" s="100">
        <f t="shared" si="185"/>
        <v>2.1653088032403001</v>
      </c>
      <c r="BR168" s="2">
        <f t="shared" si="144"/>
        <v>9.0792449224505536E-3</v>
      </c>
      <c r="BS168" s="2">
        <f>+Datos1[[#This Row],[RON acumulado 12 meses]]/Datos1[[#This Row],[PIB nominal (miles de millones de G.)]]*100</f>
        <v>1.0621385650544408</v>
      </c>
      <c r="BT168" s="56">
        <v>565.45216403699999</v>
      </c>
      <c r="BU168" s="56">
        <f>SUMIFS($BT$3:$BT168,$D$3:$D168,D168)</f>
        <v>3443.3114441199996</v>
      </c>
      <c r="BV168" s="56">
        <f t="shared" si="164"/>
        <v>4481.1828975589997</v>
      </c>
      <c r="BW168" s="100">
        <f t="shared" si="178"/>
        <v>0.33111188765092914</v>
      </c>
      <c r="BX168" s="100">
        <f t="shared" si="179"/>
        <v>0.27006823706864358</v>
      </c>
      <c r="BY168" s="100">
        <f t="shared" si="186"/>
        <v>0.14594468444219566</v>
      </c>
      <c r="BZ168" s="56">
        <f t="shared" si="145"/>
        <v>81.323476792971206</v>
      </c>
      <c r="CA168" s="56">
        <f>Datos1[[#This Row],[Adquisición Neta de Activos no Financieros]]/Datos1[[#This Row],[PIB nominal (miles de millones de G.)]]*100</f>
        <v>0.27657602918660318</v>
      </c>
      <c r="CB168" s="56">
        <f>+Datos1[[#This Row],[ANANF acumulado por año]]/Datos1[[#This Row],[PIB nominal (miles de millones de G.)]]*100</f>
        <v>1.6842050787609721</v>
      </c>
      <c r="CC168" s="56">
        <f>+Datos1[[#This Row],[ANANF acumulado 12 meses]]/Datos1[[#This Row],[PIB nominal (miles de millones de G.)]]*100</f>
        <v>2.191852557459991</v>
      </c>
      <c r="CD168" s="4">
        <v>420.876588341</v>
      </c>
      <c r="CE168" s="4">
        <f t="shared" si="146"/>
        <v>60.530580023413926</v>
      </c>
      <c r="CF168" s="4">
        <f t="shared" si="147"/>
        <v>144.57557569599999</v>
      </c>
      <c r="CG168" s="4">
        <f t="shared" si="148"/>
        <v>20.79289676955727</v>
      </c>
      <c r="CH168" s="56">
        <f t="shared" si="149"/>
        <v>-546.88989490500001</v>
      </c>
      <c r="CI168" s="56">
        <f>SUMIFS($CH$3:$CH168,$D$3:$D168,D168)</f>
        <v>-1357.6661913529997</v>
      </c>
      <c r="CJ168" s="56">
        <f t="shared" si="157"/>
        <v>-2309.6695097810007</v>
      </c>
      <c r="CK168" s="56">
        <f>Datos1[[#This Row],[Resultado Fiscal (miles de millones de G.)]]*1000/$F$207</f>
        <v>-78.653846435199128</v>
      </c>
      <c r="CL168" s="56">
        <f t="shared" si="165"/>
        <v>-332.17726754657502</v>
      </c>
      <c r="CM168" s="100">
        <f t="shared" si="180"/>
        <v>1.5327869777007246</v>
      </c>
      <c r="CN168" s="100">
        <f t="shared" si="181"/>
        <v>-0.1357530167927623</v>
      </c>
      <c r="CO168" s="100">
        <f t="shared" si="187"/>
        <v>-0.28369797646035644</v>
      </c>
      <c r="CP168" s="4">
        <f t="shared" si="150"/>
        <v>-0.26749678426415258</v>
      </c>
      <c r="CQ168" s="4">
        <f t="shared" si="158"/>
        <v>-1.1297139924055504</v>
      </c>
      <c r="CR168" s="73">
        <v>1095.2509358299999</v>
      </c>
      <c r="CS168" s="113">
        <f>SUM(Datos1[[#This Row],[FFPP]:[MTESS]])</f>
        <v>0</v>
      </c>
      <c r="CT168" s="113"/>
      <c r="CU168" s="113"/>
      <c r="CV168" s="113"/>
      <c r="CW168" s="113"/>
      <c r="CX168" s="113"/>
      <c r="CY168" s="113"/>
      <c r="CZ168" s="113"/>
    </row>
    <row r="169" spans="1:104">
      <c r="A169">
        <v>167</v>
      </c>
      <c r="B169" s="3">
        <v>42675</v>
      </c>
      <c r="C169" s="14" t="str">
        <f t="shared" si="132"/>
        <v>Noviembre</v>
      </c>
      <c r="D169" s="14">
        <f t="shared" si="151"/>
        <v>2016</v>
      </c>
      <c r="E169" s="15">
        <f t="shared" si="133"/>
        <v>204447.2782764174</v>
      </c>
      <c r="F169" s="15">
        <f t="shared" si="191"/>
        <v>5670.5408979978356</v>
      </c>
      <c r="G169" s="56">
        <v>2725.3397179019998</v>
      </c>
      <c r="H169" s="4">
        <f t="shared" si="152"/>
        <v>1.3330281238653996</v>
      </c>
      <c r="I169" s="4">
        <f>SUMIFS($G$3:$G169,$D$3:$D169,D169)</f>
        <v>25535.747668570999</v>
      </c>
      <c r="J169" s="2">
        <f t="shared" si="159"/>
        <v>28672.149585212999</v>
      </c>
      <c r="K169" s="95">
        <f t="shared" si="166"/>
        <v>8.9943017921313428E-2</v>
      </c>
      <c r="L169" s="95">
        <f t="shared" si="167"/>
        <v>0.18471001721201685</v>
      </c>
      <c r="M169" s="95">
        <f t="shared" si="182"/>
        <v>9.6113449611430202E-2</v>
      </c>
      <c r="N169" s="4">
        <v>1797.2749911819999</v>
      </c>
      <c r="O169" s="4">
        <f t="shared" si="135"/>
        <v>0.87908971267988356</v>
      </c>
      <c r="P169" s="4">
        <f>SUMIFS($N$3:$N169,$D$3:$D169,D169)</f>
        <v>17726.972156065003</v>
      </c>
      <c r="Q169" s="4">
        <f t="shared" si="155"/>
        <v>19204.946096371001</v>
      </c>
      <c r="R169" s="97">
        <f t="shared" si="168"/>
        <v>0.1177638117933022</v>
      </c>
      <c r="S169" s="97">
        <f t="shared" si="169"/>
        <v>6.7309388599906095E-2</v>
      </c>
      <c r="T169" s="97">
        <f t="shared" si="183"/>
        <v>6.3834946666968762E-2</v>
      </c>
      <c r="U169" s="4">
        <v>1095.9543170059999</v>
      </c>
      <c r="V169" s="4">
        <f t="shared" si="160"/>
        <v>11573.73439061</v>
      </c>
      <c r="W169" s="97">
        <f t="shared" si="188"/>
        <v>0.13551509073402634</v>
      </c>
      <c r="X169" s="97">
        <f t="shared" si="170"/>
        <v>0.14475554709875316</v>
      </c>
      <c r="Y169" s="4">
        <v>738.71830034000004</v>
      </c>
      <c r="Z169" s="4">
        <f t="shared" si="161"/>
        <v>7613.2615661529999</v>
      </c>
      <c r="AA169" s="97">
        <f t="shared" si="189"/>
        <v>-1.9171506840051977E-2</v>
      </c>
      <c r="AB169" s="97">
        <f t="shared" si="171"/>
        <v>0.12867425099450935</v>
      </c>
      <c r="AC169" s="4">
        <v>231.26022003900002</v>
      </c>
      <c r="AD169" s="4">
        <f t="shared" si="136"/>
        <v>0.11311484407551316</v>
      </c>
      <c r="AE169" s="4">
        <v>111.546340293</v>
      </c>
      <c r="AF169" s="4">
        <f t="shared" si="137"/>
        <v>5.4559953663059678E-2</v>
      </c>
      <c r="AG169" s="4">
        <v>585.25816638799995</v>
      </c>
      <c r="AH169" s="4">
        <f t="shared" si="138"/>
        <v>103.21028926793278</v>
      </c>
      <c r="AI169" s="4">
        <v>285.129998753</v>
      </c>
      <c r="AJ169" s="4">
        <f t="shared" si="139"/>
        <v>41.00747032431947</v>
      </c>
      <c r="AK169" s="101">
        <f>SUMIFS($AJ$3:$AJ169,$D$3:$D169,D169)</f>
        <v>437.22819008944174</v>
      </c>
      <c r="AL169" s="4">
        <v>165.71934599999997</v>
      </c>
      <c r="AM169" s="4">
        <f t="shared" si="140"/>
        <v>23.833799294993078</v>
      </c>
      <c r="AN169" s="101">
        <f>SUMIFS($AM$3:$AM169,$D$3:$D169,D169)</f>
        <v>86.292685118006887</v>
      </c>
      <c r="AO169" s="4">
        <f t="shared" si="153"/>
        <v>134.40882163499998</v>
      </c>
      <c r="AP169" s="56">
        <v>1982.6970439130002</v>
      </c>
      <c r="AQ169" s="4">
        <f t="shared" si="141"/>
        <v>0.96978402482440895</v>
      </c>
      <c r="AR169" s="4">
        <f>SUMIFS($AP$3:$AP169,$D$3:$D169,D169)</f>
        <v>22707.459741815004</v>
      </c>
      <c r="AS169" s="4">
        <f t="shared" si="162"/>
        <v>26152.874146326005</v>
      </c>
      <c r="AT169" s="97">
        <f t="shared" si="172"/>
        <v>4.0487053393565509E-2</v>
      </c>
      <c r="AU169" s="97">
        <f t="shared" si="173"/>
        <v>3.718116624712331E-2</v>
      </c>
      <c r="AV169" s="98">
        <f t="shared" si="184"/>
        <v>3.8741953833634213E-2</v>
      </c>
      <c r="AW169" s="4">
        <v>1023.5518257130002</v>
      </c>
      <c r="AX169" s="4">
        <f>SUMIFS($AW$3:$AW169,$D$3:$D169,D169)</f>
        <v>11157.695620979999</v>
      </c>
      <c r="AY169" s="4">
        <f t="shared" si="163"/>
        <v>13175.575139712002</v>
      </c>
      <c r="AZ169" s="97">
        <f t="shared" si="174"/>
        <v>-2.5274861687029193E-2</v>
      </c>
      <c r="BA169" s="97">
        <f t="shared" si="175"/>
        <v>-1.6285108550052607E-3</v>
      </c>
      <c r="BB169" s="97">
        <f t="shared" si="190"/>
        <v>7.2328404681203384E-3</v>
      </c>
      <c r="BC169" s="4">
        <v>692.01764445000003</v>
      </c>
      <c r="BD169" s="4">
        <f t="shared" si="154"/>
        <v>331.53418126300016</v>
      </c>
      <c r="BE169" s="4">
        <v>284.24988418500004</v>
      </c>
      <c r="BF169" s="4">
        <v>21.20064571</v>
      </c>
      <c r="BG169" s="4">
        <f t="shared" si="142"/>
        <v>3.0490823610684306</v>
      </c>
      <c r="BH169" s="4">
        <f>Datos1[[#This Row],[Intereses]]/Datos1[[#This Row],[PIB nominal (miles de millones de G.)]]*100</f>
        <v>1.0369737317479102E-2</v>
      </c>
      <c r="BI169" s="4">
        <v>294.60611304600008</v>
      </c>
      <c r="BJ169" s="4">
        <v>310.91066068600003</v>
      </c>
      <c r="BK169" s="4">
        <v>48.177914572999995</v>
      </c>
      <c r="BL169" s="56">
        <f t="shared" si="192"/>
        <v>742.6426739889996</v>
      </c>
      <c r="BM169" s="56">
        <f>SUMIFS($BL$3:$BL169,$D$3:$D169,D169)</f>
        <v>2828.2879267560002</v>
      </c>
      <c r="BN169" s="56">
        <f t="shared" si="156"/>
        <v>2519.2754388869994</v>
      </c>
      <c r="BO169" s="100">
        <f t="shared" si="176"/>
        <v>0.88067641448864142</v>
      </c>
      <c r="BP169" s="100">
        <f t="shared" si="177"/>
        <v>0.84243686950291097</v>
      </c>
      <c r="BQ169" s="100">
        <f t="shared" si="185"/>
        <v>1.5692152680258782</v>
      </c>
      <c r="BR169" s="2">
        <f t="shared" si="144"/>
        <v>0.36324409904099075</v>
      </c>
      <c r="BS169" s="2">
        <f>+Datos1[[#This Row],[RON acumulado 12 meses]]/Datos1[[#This Row],[PIB nominal (miles de millones de G.)]]*100</f>
        <v>1.2322372105540487</v>
      </c>
      <c r="BT169" s="56">
        <v>409.467713178</v>
      </c>
      <c r="BU169" s="56">
        <f>SUMIFS($BT$3:$BT169,$D$3:$D169,D169)</f>
        <v>3852.7791572979995</v>
      </c>
      <c r="BV169" s="56">
        <f t="shared" si="164"/>
        <v>4513.3703297689999</v>
      </c>
      <c r="BW169" s="100">
        <f t="shared" si="178"/>
        <v>8.5314377224846583E-2</v>
      </c>
      <c r="BX169" s="100">
        <f t="shared" si="179"/>
        <v>0.24749865089940948</v>
      </c>
      <c r="BY169" s="100">
        <f t="shared" si="186"/>
        <v>0.15163925996889338</v>
      </c>
      <c r="BZ169" s="56">
        <f t="shared" si="145"/>
        <v>58.889752640372159</v>
      </c>
      <c r="CA169" s="56">
        <f>Datos1[[#This Row],[Adquisición Neta de Activos no Financieros]]/Datos1[[#This Row],[PIB nominal (miles de millones de G.)]]*100</f>
        <v>0.20028034446337323</v>
      </c>
      <c r="CB169" s="56">
        <f>+Datos1[[#This Row],[ANANF acumulado por año]]/Datos1[[#This Row],[PIB nominal (miles de millones de G.)]]*100</f>
        <v>1.8844854232243455</v>
      </c>
      <c r="CC169" s="56">
        <f>+Datos1[[#This Row],[ANANF acumulado 12 meses]]/Datos1[[#This Row],[PIB nominal (miles de millones de G.)]]*100</f>
        <v>2.2075961919467666</v>
      </c>
      <c r="CD169" s="4">
        <v>237.045564211</v>
      </c>
      <c r="CE169" s="4">
        <f t="shared" si="146"/>
        <v>34.091954485346385</v>
      </c>
      <c r="CF169" s="4">
        <f t="shared" si="147"/>
        <v>172.422148967</v>
      </c>
      <c r="CG169" s="4">
        <f t="shared" si="148"/>
        <v>24.797798155025767</v>
      </c>
      <c r="CH169" s="56">
        <f t="shared" si="149"/>
        <v>333.17496081099961</v>
      </c>
      <c r="CI169" s="56">
        <f>SUMIFS($CH$3:$CH169,$D$3:$D169,D169)</f>
        <v>-1024.491230542</v>
      </c>
      <c r="CJ169" s="56">
        <f t="shared" si="157"/>
        <v>-1994.0948908820003</v>
      </c>
      <c r="CK169" s="56">
        <f>Datos1[[#This Row],[Resultado Fiscal (miles de millones de G.)]]*1000/$F$207</f>
        <v>47.917309220412633</v>
      </c>
      <c r="CL169" s="56">
        <f t="shared" si="165"/>
        <v>-286.79124406182933</v>
      </c>
      <c r="CM169" s="100">
        <f t="shared" si="180"/>
        <v>17.930027750417718</v>
      </c>
      <c r="CN169" s="100">
        <f t="shared" si="181"/>
        <v>-0.34045211416611609</v>
      </c>
      <c r="CO169" s="100">
        <f t="shared" si="187"/>
        <v>-0.3213950969844821</v>
      </c>
      <c r="CP169" s="4">
        <f t="shared" si="150"/>
        <v>0.16296375457761753</v>
      </c>
      <c r="CQ169" s="4">
        <f t="shared" si="158"/>
        <v>-0.97535898139271793</v>
      </c>
      <c r="CR169" s="73">
        <v>1098.7562752589999</v>
      </c>
      <c r="CS169" s="113">
        <f>SUM(Datos1[[#This Row],[FFPP]:[MTESS]])</f>
        <v>0</v>
      </c>
      <c r="CT169" s="113"/>
      <c r="CU169" s="113"/>
      <c r="CV169" s="113"/>
      <c r="CW169" s="113"/>
      <c r="CX169" s="113"/>
      <c r="CY169" s="113"/>
      <c r="CZ169" s="113"/>
    </row>
    <row r="170" spans="1:104">
      <c r="A170">
        <v>168</v>
      </c>
      <c r="B170" s="3">
        <v>42705</v>
      </c>
      <c r="C170" s="14" t="str">
        <f t="shared" si="132"/>
        <v>Diciembre</v>
      </c>
      <c r="D170" s="14">
        <f t="shared" si="151"/>
        <v>2016</v>
      </c>
      <c r="E170" s="15">
        <f t="shared" si="133"/>
        <v>204447.2782764174</v>
      </c>
      <c r="F170" s="15">
        <f t="shared" si="191"/>
        <v>5670.5408979978356</v>
      </c>
      <c r="G170" s="56">
        <v>2899.8520721770001</v>
      </c>
      <c r="H170" s="4">
        <f t="shared" si="152"/>
        <v>1.4183862444264645</v>
      </c>
      <c r="I170" s="4">
        <f>SUMIFS($G$3:$G170,$D$3:$D170,D170)</f>
        <v>28435.599740747999</v>
      </c>
      <c r="J170" s="2">
        <f t="shared" si="159"/>
        <v>28435.599740747999</v>
      </c>
      <c r="K170" s="95">
        <f t="shared" si="166"/>
        <v>7.0419249931672034E-2</v>
      </c>
      <c r="L170" s="95">
        <f t="shared" si="167"/>
        <v>-7.5420769005989596E-2</v>
      </c>
      <c r="M170" s="95">
        <f t="shared" si="182"/>
        <v>7.0419249931672034E-2</v>
      </c>
      <c r="N170" s="4">
        <v>1749.5577051760001</v>
      </c>
      <c r="O170" s="4">
        <f t="shared" si="135"/>
        <v>0.85575005934320036</v>
      </c>
      <c r="P170" s="4">
        <f>SUMIFS($N$3:$N170,$D$3:$D170,D170)</f>
        <v>19476.529861241004</v>
      </c>
      <c r="Q170" s="4">
        <f t="shared" si="155"/>
        <v>19476.529861241004</v>
      </c>
      <c r="R170" s="97">
        <f t="shared" si="168"/>
        <v>0.18375409570061274</v>
      </c>
      <c r="S170" s="97">
        <f t="shared" si="169"/>
        <v>7.6824632612045862E-2</v>
      </c>
      <c r="T170" s="97">
        <f t="shared" si="183"/>
        <v>7.6824632612045862E-2</v>
      </c>
      <c r="U170" s="4">
        <v>848.67410139900005</v>
      </c>
      <c r="V170" s="4">
        <f t="shared" si="160"/>
        <v>11734.845653652001</v>
      </c>
      <c r="W170" s="97">
        <f t="shared" si="188"/>
        <v>0.144954726420915</v>
      </c>
      <c r="X170" s="97">
        <f t="shared" si="170"/>
        <v>0.23432223798917273</v>
      </c>
      <c r="Y170" s="4">
        <v>799.93933895500004</v>
      </c>
      <c r="Z170" s="4">
        <f t="shared" si="161"/>
        <v>7704.8435158810007</v>
      </c>
      <c r="AA170" s="97">
        <f t="shared" si="189"/>
        <v>-6.9908774320740497E-3</v>
      </c>
      <c r="AB170" s="97">
        <f t="shared" si="171"/>
        <v>0.1292877735459772</v>
      </c>
      <c r="AC170" s="4">
        <v>191.782368811</v>
      </c>
      <c r="AD170" s="4">
        <f t="shared" si="136"/>
        <v>9.3805293192363193E-2</v>
      </c>
      <c r="AE170" s="4">
        <v>212.03512633900002</v>
      </c>
      <c r="AF170" s="4">
        <f t="shared" si="137"/>
        <v>0.10371139597775603</v>
      </c>
      <c r="AG170" s="4">
        <v>746.47687185100006</v>
      </c>
      <c r="AH170" s="4">
        <f t="shared" si="138"/>
        <v>131.64121117873734</v>
      </c>
      <c r="AI170" s="4">
        <v>402.91413122</v>
      </c>
      <c r="AJ170" s="4">
        <f t="shared" si="139"/>
        <v>57.947214784530871</v>
      </c>
      <c r="AK170" s="101">
        <f>SUMIFS($AJ$3:$AJ170,$D$3:$D170,D170)</f>
        <v>495.17540487397264</v>
      </c>
      <c r="AL170" s="4">
        <v>10.072743200000001</v>
      </c>
      <c r="AM170" s="4">
        <f t="shared" si="140"/>
        <v>1.4486645378072298</v>
      </c>
      <c r="AN170" s="101">
        <f>SUMIFS($AM$3:$AM170,$D$3:$D170,D170)</f>
        <v>87.741349655814119</v>
      </c>
      <c r="AO170" s="4">
        <f t="shared" si="153"/>
        <v>333.48999743100006</v>
      </c>
      <c r="AP170" s="56">
        <v>3440.3078962249997</v>
      </c>
      <c r="AQ170" s="4">
        <f t="shared" si="141"/>
        <v>1.682735972436681</v>
      </c>
      <c r="AR170" s="4">
        <f>SUMIFS($AP$3:$AP170,$D$3:$D170,D170)</f>
        <v>26147.767638040004</v>
      </c>
      <c r="AS170" s="4">
        <f t="shared" si="162"/>
        <v>26147.767638040004</v>
      </c>
      <c r="AT170" s="97">
        <f t="shared" si="172"/>
        <v>-1.4821172975055807E-3</v>
      </c>
      <c r="AU170" s="97">
        <f t="shared" si="173"/>
        <v>3.1923980912542893E-2</v>
      </c>
      <c r="AV170" s="98">
        <f t="shared" si="184"/>
        <v>3.1923980912542893E-2</v>
      </c>
      <c r="AW170" s="4">
        <v>2030.4671985169996</v>
      </c>
      <c r="AX170" s="4">
        <f>SUMIFS($AW$3:$AW170,$D$3:$D170,D170)</f>
        <v>13188.162819496998</v>
      </c>
      <c r="AY170" s="4">
        <f t="shared" si="163"/>
        <v>13188.162819496998</v>
      </c>
      <c r="AZ170" s="97">
        <f t="shared" si="174"/>
        <v>6.2380730207862722E-3</v>
      </c>
      <c r="BA170" s="97">
        <f t="shared" si="175"/>
        <v>-4.2538148254656072E-4</v>
      </c>
      <c r="BB170" s="97">
        <f t="shared" si="190"/>
        <v>-4.2538148254656072E-4</v>
      </c>
      <c r="BC170" s="4">
        <v>693.480653792</v>
      </c>
      <c r="BD170" s="4">
        <f t="shared" si="154"/>
        <v>1336.9865447249995</v>
      </c>
      <c r="BE170" s="4">
        <v>277.156523101</v>
      </c>
      <c r="BF170" s="4">
        <v>26.468198454000003</v>
      </c>
      <c r="BG170" s="4">
        <f t="shared" si="142"/>
        <v>3.8066631620226303</v>
      </c>
      <c r="BH170" s="4">
        <f>Datos1[[#This Row],[Intereses]]/Datos1[[#This Row],[PIB nominal (miles de millones de G.)]]*100</f>
        <v>1.2946221968391475E-2</v>
      </c>
      <c r="BI170" s="4">
        <v>447.66397796399997</v>
      </c>
      <c r="BJ170" s="4">
        <v>537.61130320599989</v>
      </c>
      <c r="BK170" s="4">
        <v>120.94069498299999</v>
      </c>
      <c r="BL170" s="56">
        <f t="shared" si="192"/>
        <v>-540.45582404799961</v>
      </c>
      <c r="BM170" s="56">
        <f>SUMIFS($BL$3:$BL170,$D$3:$D170,D170)</f>
        <v>2287.8321027080005</v>
      </c>
      <c r="BN170" s="56">
        <f t="shared" si="156"/>
        <v>2287.8321027080005</v>
      </c>
      <c r="BO170" s="100">
        <f t="shared" si="176"/>
        <v>0.7489772914197379</v>
      </c>
      <c r="BP170" s="100">
        <f t="shared" si="177"/>
        <v>0.86599199779465197</v>
      </c>
      <c r="BQ170" s="100">
        <f t="shared" si="185"/>
        <v>0.86599199779465197</v>
      </c>
      <c r="BR170" s="2">
        <f t="shared" si="144"/>
        <v>-0.26434972801021639</v>
      </c>
      <c r="BS170" s="2">
        <f>+Datos1[[#This Row],[RON acumulado 12 meses]]/Datos1[[#This Row],[PIB nominal (miles de millones de G.)]]*100</f>
        <v>1.1190328000428544</v>
      </c>
      <c r="BT170" s="56">
        <v>650.00079126600008</v>
      </c>
      <c r="BU170" s="56">
        <f>SUMIFS($BT$3:$BT170,$D$3:$D170,D170)</f>
        <v>4502.7799485639998</v>
      </c>
      <c r="BV170" s="56">
        <f t="shared" si="164"/>
        <v>4502.7799485639998</v>
      </c>
      <c r="BW170" s="100">
        <f t="shared" si="178"/>
        <v>-1.6031672305558686E-2</v>
      </c>
      <c r="BX170" s="100">
        <f t="shared" si="179"/>
        <v>0.2010633203710317</v>
      </c>
      <c r="BY170" s="100">
        <f t="shared" si="186"/>
        <v>0.2010633203710317</v>
      </c>
      <c r="BZ170" s="56">
        <f t="shared" si="145"/>
        <v>93.483282275447436</v>
      </c>
      <c r="CA170" s="56">
        <f>Datos1[[#This Row],[Adquisición Neta de Activos no Financieros]]/Datos1[[#This Row],[PIB nominal (miles de millones de G.)]]*100</f>
        <v>0.3179307627598662</v>
      </c>
      <c r="CB170" s="56">
        <f>+Datos1[[#This Row],[ANANF acumulado por año]]/Datos1[[#This Row],[PIB nominal (miles de millones de G.)]]*100</f>
        <v>2.2024161859842115</v>
      </c>
      <c r="CC170" s="56">
        <f>+Datos1[[#This Row],[ANANF acumulado 12 meses]]/Datos1[[#This Row],[PIB nominal (miles de millones de G.)]]*100</f>
        <v>2.2024161859842115</v>
      </c>
      <c r="CD170" s="4">
        <v>283.60696746100001</v>
      </c>
      <c r="CE170" s="4">
        <f t="shared" si="146"/>
        <v>40.788427569145178</v>
      </c>
      <c r="CF170" s="4">
        <f t="shared" si="147"/>
        <v>366.39382380500007</v>
      </c>
      <c r="CG170" s="4">
        <f t="shared" si="148"/>
        <v>52.694854706302245</v>
      </c>
      <c r="CH170" s="56">
        <f t="shared" si="149"/>
        <v>-1190.4566153139997</v>
      </c>
      <c r="CI170" s="56">
        <f>SUMIFS($CH$3:$CH170,$D$3:$D170,D170)</f>
        <v>-2214.9478458559997</v>
      </c>
      <c r="CJ170" s="56">
        <f t="shared" si="157"/>
        <v>-2214.9478458559997</v>
      </c>
      <c r="CK170" s="56">
        <f>Datos1[[#This Row],[Resultado Fiscal (miles de millones de G.)]]*1000/$F$207</f>
        <v>-171.21177897232744</v>
      </c>
      <c r="CL170" s="56">
        <f t="shared" si="165"/>
        <v>-318.55437328970129</v>
      </c>
      <c r="CM170" s="100">
        <f t="shared" si="180"/>
        <v>0.22777652767580814</v>
      </c>
      <c r="CN170" s="100">
        <f t="shared" si="181"/>
        <v>-0.12207221812016933</v>
      </c>
      <c r="CO170" s="100">
        <f t="shared" si="187"/>
        <v>-0.12207221812016933</v>
      </c>
      <c r="CP170" s="4">
        <f t="shared" si="150"/>
        <v>-0.58228049077008259</v>
      </c>
      <c r="CQ170" s="4">
        <f t="shared" si="158"/>
        <v>-1.0833833859413573</v>
      </c>
      <c r="CR170" s="73">
        <v>2177.8580257650001</v>
      </c>
      <c r="CS170" s="113">
        <f>SUM(Datos1[[#This Row],[FFPP]:[MTESS]])</f>
        <v>0</v>
      </c>
      <c r="CT170" s="113"/>
      <c r="CU170" s="113"/>
      <c r="CV170" s="113"/>
      <c r="CW170" s="113"/>
      <c r="CX170" s="113"/>
      <c r="CY170" s="113"/>
      <c r="CZ170" s="113"/>
    </row>
    <row r="171" spans="1:104">
      <c r="A171">
        <v>169</v>
      </c>
      <c r="B171" s="76">
        <v>42736</v>
      </c>
      <c r="C171" s="14" t="str">
        <f t="shared" si="132"/>
        <v>Enero</v>
      </c>
      <c r="D171" s="14">
        <f t="shared" si="151"/>
        <v>2017</v>
      </c>
      <c r="E171" s="15">
        <f t="shared" si="133"/>
        <v>219188.41687183932</v>
      </c>
      <c r="F171" s="15">
        <f t="shared" si="191"/>
        <v>5618.9334516428034</v>
      </c>
      <c r="G171" s="56">
        <v>2141.1619544939999</v>
      </c>
      <c r="H171" s="4">
        <f t="shared" si="152"/>
        <v>0.97685908090022333</v>
      </c>
      <c r="I171" s="4">
        <f>SUMIFS($G$3:$G171,$D$3:$D171,D171)</f>
        <v>2141.1619544939999</v>
      </c>
      <c r="J171" s="2">
        <f t="shared" si="159"/>
        <v>28472.415599926</v>
      </c>
      <c r="K171" s="95">
        <f t="shared" si="166"/>
        <v>1.7495154081330622E-2</v>
      </c>
      <c r="L171" s="95">
        <f t="shared" si="167"/>
        <v>1.7495154081330622E-2</v>
      </c>
      <c r="M171" s="95">
        <f t="shared" si="182"/>
        <v>6.0963779726307399E-2</v>
      </c>
      <c r="N171" s="4">
        <v>1583.465110435</v>
      </c>
      <c r="O171" s="4">
        <f t="shared" si="135"/>
        <v>0.72242189301493098</v>
      </c>
      <c r="P171" s="4">
        <f>SUMIFS($N$3:$N171,$D$3:$D171,D171)</f>
        <v>1583.465110435</v>
      </c>
      <c r="Q171" s="4">
        <f t="shared" si="155"/>
        <v>19579.391988702999</v>
      </c>
      <c r="R171" s="97">
        <f t="shared" si="168"/>
        <v>6.947313266616284E-2</v>
      </c>
      <c r="S171" s="97">
        <f t="shared" si="169"/>
        <v>6.947313266616284E-2</v>
      </c>
      <c r="T171" s="97">
        <f t="shared" si="183"/>
        <v>7.8464548374704624E-2</v>
      </c>
      <c r="U171" s="4">
        <v>931.61405060000004</v>
      </c>
      <c r="V171" s="4">
        <f t="shared" si="160"/>
        <v>11799.050127732999</v>
      </c>
      <c r="W171" s="97">
        <f t="shared" si="188"/>
        <v>0.14224133721473553</v>
      </c>
      <c r="X171" s="97">
        <f t="shared" si="170"/>
        <v>7.4018636430853046E-2</v>
      </c>
      <c r="Y171" s="4">
        <v>656.34985041699986</v>
      </c>
      <c r="Z171" s="4">
        <f t="shared" si="161"/>
        <v>7735.0819160110004</v>
      </c>
      <c r="AA171" s="97">
        <f t="shared" si="189"/>
        <v>-6.3584721237328612E-3</v>
      </c>
      <c r="AB171" s="97">
        <f t="shared" si="171"/>
        <v>4.8295555234038723E-2</v>
      </c>
      <c r="AC171" s="4">
        <v>97.115917140000008</v>
      </c>
      <c r="AD171" s="4">
        <f t="shared" si="136"/>
        <v>4.4307048030181366E-2</v>
      </c>
      <c r="AE171" s="4">
        <v>41.619546180000007</v>
      </c>
      <c r="AF171" s="4">
        <f t="shared" si="137"/>
        <v>1.89880226218045E-2</v>
      </c>
      <c r="AG171" s="4">
        <v>418.96138073900005</v>
      </c>
      <c r="AH171" s="4">
        <f t="shared" si="138"/>
        <v>74.562438645097075</v>
      </c>
      <c r="AI171" s="4">
        <v>281.39133539300002</v>
      </c>
      <c r="AJ171" s="4">
        <f t="shared" si="139"/>
        <v>40.469774790849385</v>
      </c>
      <c r="AK171" s="101">
        <f>SUMIFS($AJ$3:$AJ171,$D$3:$D171,D171)</f>
        <v>40.469774790849385</v>
      </c>
      <c r="AL171" s="4">
        <v>3.5499154000000002</v>
      </c>
      <c r="AM171" s="4">
        <f t="shared" si="140"/>
        <v>0.51054975294076466</v>
      </c>
      <c r="AN171" s="101">
        <f>SUMIFS($AM$3:$AM171,$D$3:$D171,D171)</f>
        <v>0.51054975294076466</v>
      </c>
      <c r="AO171" s="4">
        <f t="shared" si="153"/>
        <v>134.02012994600003</v>
      </c>
      <c r="AP171" s="56">
        <v>2223.0136734780008</v>
      </c>
      <c r="AQ171" s="4">
        <f t="shared" si="141"/>
        <v>1.0142021668863137</v>
      </c>
      <c r="AR171" s="4">
        <f>SUMIFS($AP$3:$AP171,$D$3:$D171,D171)</f>
        <v>2223.0136734780008</v>
      </c>
      <c r="AS171" s="4">
        <f t="shared" si="162"/>
        <v>26406.297152023006</v>
      </c>
      <c r="AT171" s="97">
        <f t="shared" si="172"/>
        <v>0.13160173001825548</v>
      </c>
      <c r="AU171" s="97">
        <f t="shared" si="173"/>
        <v>0.13160173001825548</v>
      </c>
      <c r="AV171" s="98">
        <f t="shared" si="184"/>
        <v>2.5190712423163397E-2</v>
      </c>
      <c r="AW171" s="4">
        <v>985.57412834800039</v>
      </c>
      <c r="AX171" s="4">
        <f>SUMIFS($AW$3:$AW171,$D$3:$D171,D171)</f>
        <v>985.57412834800039</v>
      </c>
      <c r="AY171" s="4">
        <f t="shared" si="163"/>
        <v>13210.311614205999</v>
      </c>
      <c r="AZ171" s="97">
        <f t="shared" si="174"/>
        <v>2.2989632860640041E-2</v>
      </c>
      <c r="BA171" s="97">
        <f t="shared" si="175"/>
        <v>2.2989632860640041E-2</v>
      </c>
      <c r="BB171" s="97">
        <f t="shared" si="190"/>
        <v>2.0567201853749495E-4</v>
      </c>
      <c r="BC171" s="4">
        <v>686.88473053300004</v>
      </c>
      <c r="BD171" s="4">
        <f t="shared" si="154"/>
        <v>298.68939781500035</v>
      </c>
      <c r="BE171" s="4">
        <v>85.198761554000015</v>
      </c>
      <c r="BF171" s="4">
        <v>317.926286667</v>
      </c>
      <c r="BG171" s="4">
        <f t="shared" si="142"/>
        <v>45.724240952674975</v>
      </c>
      <c r="BH171" s="4">
        <f>Datos1[[#This Row],[Intereses]]/Datos1[[#This Row],[PIB nominal (miles de millones de G.)]]*100</f>
        <v>0.14504702903753042</v>
      </c>
      <c r="BI171" s="4">
        <v>518.481780641</v>
      </c>
      <c r="BJ171" s="4">
        <v>300.20310387500001</v>
      </c>
      <c r="BK171" s="4">
        <v>15.629612392999999</v>
      </c>
      <c r="BL171" s="56">
        <f t="shared" si="192"/>
        <v>-81.851718984000854</v>
      </c>
      <c r="BM171" s="56">
        <f>SUMIFS($BL$3:$BL171,$D$3:$D171,D171)</f>
        <v>-81.851718984000854</v>
      </c>
      <c r="BN171" s="56">
        <f t="shared" si="156"/>
        <v>2066.1184479029998</v>
      </c>
      <c r="BO171" s="100">
        <f t="shared" si="176"/>
        <v>-1.5852322756976378</v>
      </c>
      <c r="BP171" s="100">
        <f t="shared" si="177"/>
        <v>-1.5852322756976378</v>
      </c>
      <c r="BQ171" s="100">
        <f t="shared" si="185"/>
        <v>0.91498685191936402</v>
      </c>
      <c r="BR171" s="2">
        <f t="shared" si="144"/>
        <v>-3.7343085986090228E-2</v>
      </c>
      <c r="BS171" s="2">
        <f>+Datos1[[#This Row],[RON acumulado 12 meses]]/Datos1[[#This Row],[PIB nominal (miles de millones de G.)]]*100</f>
        <v>0.94262209535966068</v>
      </c>
      <c r="BT171" s="56">
        <v>379.26472738599995</v>
      </c>
      <c r="BU171" s="56">
        <f>SUMIFS($BT$3:$BT171,$D$3:$D171,D171)</f>
        <v>379.26472738599995</v>
      </c>
      <c r="BV171" s="56">
        <f t="shared" si="164"/>
        <v>4845.1647671580004</v>
      </c>
      <c r="BW171" s="100">
        <f t="shared" si="178"/>
        <v>9.2837761753974331</v>
      </c>
      <c r="BX171" s="100">
        <f t="shared" si="179"/>
        <v>9.2837761753974331</v>
      </c>
      <c r="BY171" s="100">
        <f t="shared" si="186"/>
        <v>0.30365139248149875</v>
      </c>
      <c r="BZ171" s="56">
        <f t="shared" si="145"/>
        <v>54.5459513953681</v>
      </c>
      <c r="CA171" s="56">
        <f>Datos1[[#This Row],[Adquisición Neta de Activos no Financieros]]/Datos1[[#This Row],[PIB nominal (miles de millones de G.)]]*100</f>
        <v>0.17303137309840516</v>
      </c>
      <c r="CB171" s="56">
        <f>+Datos1[[#This Row],[ANANF acumulado por año]]/Datos1[[#This Row],[PIB nominal (miles de millones de G.)]]*100</f>
        <v>0.17303137309840516</v>
      </c>
      <c r="CC171" s="56">
        <f>+Datos1[[#This Row],[ANANF acumulado 12 meses]]/Datos1[[#This Row],[PIB nominal (miles de millones de G.)]]*100</f>
        <v>2.2105021954654633</v>
      </c>
      <c r="CD171" s="4">
        <v>316.66734352900005</v>
      </c>
      <c r="CE171" s="4">
        <f t="shared" si="146"/>
        <v>45.543179424258739</v>
      </c>
      <c r="CF171" s="4">
        <f t="shared" si="147"/>
        <v>62.597383856999897</v>
      </c>
      <c r="CG171" s="4">
        <f t="shared" si="148"/>
        <v>9.0027719711093699</v>
      </c>
      <c r="CH171" s="56">
        <f t="shared" si="149"/>
        <v>-461.1164463700008</v>
      </c>
      <c r="CI171" s="56">
        <f>SUMIFS($CH$3:$CH171,$D$3:$D171,D171)</f>
        <v>-461.1164463700008</v>
      </c>
      <c r="CJ171" s="56">
        <f t="shared" si="157"/>
        <v>-2779.0463192550005</v>
      </c>
      <c r="CK171" s="56">
        <f>Datos1[[#This Row],[Resultado Fiscal (miles de millones de G.)]]*1000/$F$207</f>
        <v>-66.317886835029157</v>
      </c>
      <c r="CL171" s="56">
        <f t="shared" si="165"/>
        <v>-399.68316194424858</v>
      </c>
      <c r="CM171" s="100">
        <f t="shared" si="180"/>
        <v>-5.4776400278094046</v>
      </c>
      <c r="CN171" s="100">
        <f t="shared" si="181"/>
        <v>-5.4776400278094046</v>
      </c>
      <c r="CO171" s="100">
        <f t="shared" si="187"/>
        <v>5.359083050865121E-2</v>
      </c>
      <c r="CP171" s="4">
        <f t="shared" si="150"/>
        <v>-0.2103744590844954</v>
      </c>
      <c r="CQ171" s="4">
        <f t="shared" si="158"/>
        <v>-1.2678801001058027</v>
      </c>
      <c r="CR171" s="73">
        <v>1104.424595681</v>
      </c>
      <c r="CS171" s="113">
        <f>SUM(Datos1[[#This Row],[FFPP]:[MTESS]])</f>
        <v>0</v>
      </c>
      <c r="CT171" s="113"/>
      <c r="CU171" s="113"/>
      <c r="CV171" s="113"/>
      <c r="CW171" s="113"/>
      <c r="CX171" s="113"/>
      <c r="CY171" s="113"/>
      <c r="CZ171" s="113"/>
    </row>
    <row r="172" spans="1:104">
      <c r="A172">
        <v>170</v>
      </c>
      <c r="B172" s="3">
        <v>42767</v>
      </c>
      <c r="C172" s="14" t="str">
        <f t="shared" si="132"/>
        <v>Febrero</v>
      </c>
      <c r="D172" s="14">
        <f t="shared" si="151"/>
        <v>2017</v>
      </c>
      <c r="E172" s="15">
        <f t="shared" si="133"/>
        <v>219188.41687183932</v>
      </c>
      <c r="F172" s="15">
        <f t="shared" si="191"/>
        <v>5618.9334516428034</v>
      </c>
      <c r="G172" s="56">
        <v>2200.0980520189996</v>
      </c>
      <c r="H172" s="4">
        <f t="shared" si="152"/>
        <v>1.0037474075582238</v>
      </c>
      <c r="I172" s="4">
        <f>SUMIFS($G$3:$G172,$D$3:$D172,D172)</f>
        <v>4341.2600065129991</v>
      </c>
      <c r="J172" s="2">
        <f t="shared" si="159"/>
        <v>28365.910532475998</v>
      </c>
      <c r="K172" s="95">
        <f t="shared" si="166"/>
        <v>-1.5799140928308808E-2</v>
      </c>
      <c r="L172" s="95">
        <f t="shared" si="167"/>
        <v>-4.6173989166597096E-2</v>
      </c>
      <c r="M172" s="95">
        <f t="shared" si="182"/>
        <v>4.2388354920906313E-2</v>
      </c>
      <c r="N172" s="4">
        <v>1265.1477241479997</v>
      </c>
      <c r="O172" s="4">
        <f t="shared" si="135"/>
        <v>0.57719643318913993</v>
      </c>
      <c r="P172" s="4">
        <f>SUMIFS($N$3:$N172,$D$3:$D172,D172)</f>
        <v>2848.6128345829998</v>
      </c>
      <c r="Q172" s="4">
        <f t="shared" si="155"/>
        <v>19669.595020926998</v>
      </c>
      <c r="R172" s="97">
        <f t="shared" si="168"/>
        <v>7.6772151782131814E-2</v>
      </c>
      <c r="S172" s="97">
        <f t="shared" si="169"/>
        <v>7.2702577141074087E-2</v>
      </c>
      <c r="T172" s="97">
        <f t="shared" si="183"/>
        <v>8.0345017523172801E-2</v>
      </c>
      <c r="U172" s="4">
        <v>666.14944641500006</v>
      </c>
      <c r="V172" s="4">
        <f t="shared" si="160"/>
        <v>11780.748372941998</v>
      </c>
      <c r="W172" s="97">
        <f t="shared" si="188"/>
        <v>0.12947320881689595</v>
      </c>
      <c r="X172" s="97">
        <f t="shared" si="170"/>
        <v>-2.6739312837426921E-2</v>
      </c>
      <c r="Y172" s="4">
        <v>624.38818311700004</v>
      </c>
      <c r="Z172" s="4">
        <f t="shared" si="161"/>
        <v>7782.5856151360003</v>
      </c>
      <c r="AA172" s="97">
        <f t="shared" si="189"/>
        <v>1.3366729604260552E-3</v>
      </c>
      <c r="AB172" s="97">
        <f t="shared" si="171"/>
        <v>8.2345253587473577E-2</v>
      </c>
      <c r="AC172" s="4">
        <v>494.63543370299999</v>
      </c>
      <c r="AD172" s="4">
        <f t="shared" si="136"/>
        <v>0.22566677599218946</v>
      </c>
      <c r="AE172" s="4">
        <v>53.444310911999992</v>
      </c>
      <c r="AF172" s="4">
        <f t="shared" si="137"/>
        <v>2.4382817155547583E-2</v>
      </c>
      <c r="AG172" s="4">
        <v>386.87058325600003</v>
      </c>
      <c r="AH172" s="4">
        <f t="shared" si="138"/>
        <v>68.851248477216075</v>
      </c>
      <c r="AI172" s="4">
        <v>278.49219285000004</v>
      </c>
      <c r="AJ172" s="4">
        <f t="shared" si="139"/>
        <v>40.052819358878047</v>
      </c>
      <c r="AK172" s="101">
        <f>SUMIFS($AJ$3:$AJ172,$D$3:$D172,D172)</f>
        <v>80.522594149727439</v>
      </c>
      <c r="AL172" s="4">
        <v>0</v>
      </c>
      <c r="AM172" s="4">
        <f t="shared" si="140"/>
        <v>0</v>
      </c>
      <c r="AN172" s="101">
        <f>SUMIFS($AM$3:$AM172,$D$3:$D172,D172)</f>
        <v>0.51054975294076466</v>
      </c>
      <c r="AO172" s="4">
        <f t="shared" si="153"/>
        <v>108.37839040599999</v>
      </c>
      <c r="AP172" s="56">
        <v>1980.2066483689998</v>
      </c>
      <c r="AQ172" s="4">
        <f t="shared" si="141"/>
        <v>0.90342668496339285</v>
      </c>
      <c r="AR172" s="4">
        <f>SUMIFS($AP$3:$AP172,$D$3:$D172,D172)</f>
        <v>4203.2203218470004</v>
      </c>
      <c r="AS172" s="4">
        <f t="shared" si="162"/>
        <v>26165.847689684</v>
      </c>
      <c r="AT172" s="97">
        <f t="shared" si="172"/>
        <v>-0.10827856739256181</v>
      </c>
      <c r="AU172" s="97">
        <f t="shared" si="173"/>
        <v>4.3200587021479109E-3</v>
      </c>
      <c r="AV172" s="98">
        <f t="shared" si="184"/>
        <v>8.4386666322828763E-3</v>
      </c>
      <c r="AW172" s="4">
        <v>1025.3472695979999</v>
      </c>
      <c r="AX172" s="4">
        <f>SUMIFS($AW$3:$AW172,$D$3:$D172,D172)</f>
        <v>2010.9213979460003</v>
      </c>
      <c r="AY172" s="4">
        <f t="shared" si="163"/>
        <v>13242.466984254999</v>
      </c>
      <c r="AZ172" s="97">
        <f t="shared" si="174"/>
        <v>3.2375787663594169E-2</v>
      </c>
      <c r="BA172" s="97">
        <f t="shared" si="175"/>
        <v>2.7754107362900182E-2</v>
      </c>
      <c r="BB172" s="97">
        <f t="shared" si="190"/>
        <v>3.0154148056678043E-3</v>
      </c>
      <c r="BC172" s="4">
        <v>685.76102127599995</v>
      </c>
      <c r="BD172" s="4">
        <f t="shared" si="154"/>
        <v>339.58624832199996</v>
      </c>
      <c r="BE172" s="4">
        <v>226.91543230299999</v>
      </c>
      <c r="BF172" s="4">
        <v>36.997612087</v>
      </c>
      <c r="BG172" s="4">
        <f t="shared" si="142"/>
        <v>5.3210061598696408</v>
      </c>
      <c r="BH172" s="4">
        <f>Datos1[[#This Row],[Intereses]]/Datos1[[#This Row],[PIB nominal (miles de millones de G.)]]*100</f>
        <v>1.6879364619268502E-2</v>
      </c>
      <c r="BI172" s="4">
        <v>288.60883006499995</v>
      </c>
      <c r="BJ172" s="4">
        <v>365.77098095700001</v>
      </c>
      <c r="BK172" s="4">
        <v>36.566523359000001</v>
      </c>
      <c r="BL172" s="56">
        <f t="shared" si="192"/>
        <v>219.8914036499998</v>
      </c>
      <c r="BM172" s="56">
        <f>SUMIFS($BL$3:$BL172,$D$3:$D172,D172)</f>
        <v>138.03968466599895</v>
      </c>
      <c r="BN172" s="56">
        <f t="shared" si="156"/>
        <v>2200.0628427919992</v>
      </c>
      <c r="BO172" s="100">
        <f t="shared" si="176"/>
        <v>1.5584532471801262</v>
      </c>
      <c r="BP172" s="100">
        <f t="shared" si="177"/>
        <v>-0.38868814554035003</v>
      </c>
      <c r="BQ172" s="100">
        <f t="shared" si="185"/>
        <v>0.73845140386371222</v>
      </c>
      <c r="BR172" s="2">
        <f t="shared" si="144"/>
        <v>0.10032072259483105</v>
      </c>
      <c r="BS172" s="2">
        <f>+Datos1[[#This Row],[RON acumulado 12 meses]]/Datos1[[#This Row],[PIB nominal (miles de millones de G.)]]*100</f>
        <v>1.0037313441058284</v>
      </c>
      <c r="BT172" s="56">
        <v>246.33501989299995</v>
      </c>
      <c r="BU172" s="56">
        <f>SUMIFS($BT$3:$BT172,$D$3:$D172,D172)</f>
        <v>625.59974727899987</v>
      </c>
      <c r="BV172" s="56">
        <f t="shared" si="164"/>
        <v>4877.3697561050003</v>
      </c>
      <c r="BW172" s="100">
        <f t="shared" si="178"/>
        <v>0.15039921679701962</v>
      </c>
      <c r="BX172" s="100">
        <f t="shared" si="179"/>
        <v>1.492330574366858</v>
      </c>
      <c r="BY172" s="100">
        <f t="shared" si="186"/>
        <v>0.33016127737737899</v>
      </c>
      <c r="BZ172" s="56">
        <f t="shared" si="145"/>
        <v>35.42796640929231</v>
      </c>
      <c r="CA172" s="56">
        <f>Datos1[[#This Row],[Adquisición Neta de Activos no Financieros]]/Datos1[[#This Row],[PIB nominal (miles de millones de G.)]]*100</f>
        <v>0.11238505364863027</v>
      </c>
      <c r="CB172" s="56">
        <f>+Datos1[[#This Row],[ANANF acumulado por año]]/Datos1[[#This Row],[PIB nominal (miles de millones de G.)]]*100</f>
        <v>0.28541642674703543</v>
      </c>
      <c r="CC172" s="56">
        <f>+Datos1[[#This Row],[ANANF acumulado 12 meses]]/Datos1[[#This Row],[PIB nominal (miles de millones de G.)]]*100</f>
        <v>2.225195028876378</v>
      </c>
      <c r="CD172" s="4">
        <v>196.39208054799997</v>
      </c>
      <c r="CE172" s="4">
        <f t="shared" si="146"/>
        <v>28.245159927840572</v>
      </c>
      <c r="CF172" s="4">
        <f t="shared" si="147"/>
        <v>49.942939344999985</v>
      </c>
      <c r="CG172" s="4">
        <f t="shared" si="148"/>
        <v>7.1828064814517374</v>
      </c>
      <c r="CH172" s="56">
        <f t="shared" si="149"/>
        <v>-26.44361624300015</v>
      </c>
      <c r="CI172" s="56">
        <f>SUMIFS($CH$3:$CH172,$D$3:$D172,D172)</f>
        <v>-487.56006261300092</v>
      </c>
      <c r="CJ172" s="56">
        <f t="shared" si="157"/>
        <v>-2677.3069133130007</v>
      </c>
      <c r="CK172" s="56">
        <f>Datos1[[#This Row],[Resultado Fiscal (miles de millones de G.)]]*1000/$F$207</f>
        <v>-3.8031277420650973</v>
      </c>
      <c r="CL172" s="56">
        <f t="shared" si="165"/>
        <v>-385.05097421154147</v>
      </c>
      <c r="CM172" s="100">
        <f t="shared" si="180"/>
        <v>-0.79370422235141658</v>
      </c>
      <c r="CN172" s="100">
        <f t="shared" si="181"/>
        <v>18.346857518716927</v>
      </c>
      <c r="CO172" s="100">
        <f t="shared" si="187"/>
        <v>0.11497757226625982</v>
      </c>
      <c r="CP172" s="4">
        <f t="shared" si="150"/>
        <v>-1.2064331053799197E-2</v>
      </c>
      <c r="CQ172" s="4">
        <f t="shared" si="158"/>
        <v>-1.2214636847705491</v>
      </c>
      <c r="CR172" s="73">
        <v>1166.270543265</v>
      </c>
      <c r="CS172" s="113">
        <f>SUM(Datos1[[#This Row],[FFPP]:[MTESS]])</f>
        <v>0</v>
      </c>
      <c r="CT172" s="113"/>
      <c r="CU172" s="113"/>
      <c r="CV172" s="113"/>
      <c r="CW172" s="113"/>
      <c r="CX172" s="113"/>
      <c r="CY172" s="113"/>
      <c r="CZ172" s="113"/>
    </row>
    <row r="173" spans="1:104">
      <c r="A173">
        <v>171</v>
      </c>
      <c r="B173" s="3">
        <v>42795</v>
      </c>
      <c r="C173" s="14" t="str">
        <f t="shared" si="132"/>
        <v>Marzo</v>
      </c>
      <c r="D173" s="14">
        <f t="shared" si="151"/>
        <v>2017</v>
      </c>
      <c r="E173" s="15">
        <f t="shared" si="133"/>
        <v>219188.41687183932</v>
      </c>
      <c r="F173" s="15">
        <f t="shared" si="191"/>
        <v>5618.9334516428034</v>
      </c>
      <c r="G173" s="56">
        <v>2254.6683968279999</v>
      </c>
      <c r="H173" s="4">
        <f t="shared" si="152"/>
        <v>1.0286439534559517</v>
      </c>
      <c r="I173" s="4">
        <f>SUMIFS($G$3:$G173,$D$3:$D173,D173)</f>
        <v>6595.9284033409986</v>
      </c>
      <c r="J173" s="2">
        <f t="shared" si="159"/>
        <v>28685.595831672999</v>
      </c>
      <c r="K173" s="95">
        <f t="shared" si="166"/>
        <v>3.9394698622277069E-2</v>
      </c>
      <c r="L173" s="95">
        <f t="shared" si="167"/>
        <v>0.16521348408076064</v>
      </c>
      <c r="M173" s="95">
        <f t="shared" si="182"/>
        <v>5.2340614502249361E-2</v>
      </c>
      <c r="N173" s="4">
        <v>1484.5084198729999</v>
      </c>
      <c r="O173" s="4">
        <f t="shared" si="135"/>
        <v>0.67727503170981884</v>
      </c>
      <c r="P173" s="4">
        <f>SUMIFS($N$3:$N173,$D$3:$D173,D173)</f>
        <v>4333.1212544559994</v>
      </c>
      <c r="Q173" s="4">
        <f t="shared" si="155"/>
        <v>19724.014698409999</v>
      </c>
      <c r="R173" s="97">
        <f t="shared" si="168"/>
        <v>3.8053357018986489E-2</v>
      </c>
      <c r="S173" s="97">
        <f t="shared" si="169"/>
        <v>6.0574366363548737E-2</v>
      </c>
      <c r="T173" s="97">
        <f t="shared" si="183"/>
        <v>8.2187773227171412E-2</v>
      </c>
      <c r="U173" s="4">
        <v>714.69324183399999</v>
      </c>
      <c r="V173" s="4">
        <f t="shared" si="160"/>
        <v>11684.648969369</v>
      </c>
      <c r="W173" s="97">
        <f t="shared" si="188"/>
        <v>0.11081933294511126</v>
      </c>
      <c r="X173" s="97">
        <f t="shared" si="170"/>
        <v>-0.11852525317957252</v>
      </c>
      <c r="Y173" s="4">
        <v>748.03680116700014</v>
      </c>
      <c r="Z173" s="4">
        <f t="shared" si="161"/>
        <v>7953.0548457060013</v>
      </c>
      <c r="AA173" s="97">
        <f t="shared" si="189"/>
        <v>3.0762219263298141E-2</v>
      </c>
      <c r="AB173" s="97">
        <f t="shared" si="171"/>
        <v>0.29515028067416527</v>
      </c>
      <c r="AC173" s="4">
        <v>94.974814815000002</v>
      </c>
      <c r="AD173" s="4">
        <f t="shared" si="136"/>
        <v>4.333021615395502E-2</v>
      </c>
      <c r="AE173" s="4">
        <v>70.039710185999994</v>
      </c>
      <c r="AF173" s="4">
        <f t="shared" si="137"/>
        <v>3.1954111072827626E-2</v>
      </c>
      <c r="AG173" s="4">
        <v>605.14545195400001</v>
      </c>
      <c r="AH173" s="4">
        <f t="shared" si="138"/>
        <v>107.6975652340346</v>
      </c>
      <c r="AI173" s="4">
        <v>394.62782733199998</v>
      </c>
      <c r="AJ173" s="4">
        <f t="shared" si="139"/>
        <v>56.755476411607809</v>
      </c>
      <c r="AK173" s="101">
        <f>SUMIFS($AJ$3:$AJ173,$D$3:$D173,D173)</f>
        <v>137.27807056133526</v>
      </c>
      <c r="AL173" s="4">
        <v>67.980378000000002</v>
      </c>
      <c r="AM173" s="4">
        <f t="shared" si="140"/>
        <v>9.7769555839893503</v>
      </c>
      <c r="AN173" s="101">
        <f>SUMIFS($AM$3:$AM173,$D$3:$D173,D173)</f>
        <v>10.287505336930115</v>
      </c>
      <c r="AO173" s="4">
        <f t="shared" si="153"/>
        <v>142.53724662200003</v>
      </c>
      <c r="AP173" s="56">
        <v>2034.908064797</v>
      </c>
      <c r="AQ173" s="4">
        <f t="shared" si="141"/>
        <v>0.92838302946766671</v>
      </c>
      <c r="AR173" s="4">
        <f>SUMIFS($AP$3:$AP173,$D$3:$D173,D173)</f>
        <v>6238.1283866440008</v>
      </c>
      <c r="AS173" s="4">
        <f t="shared" si="162"/>
        <v>26132.190474309002</v>
      </c>
      <c r="AT173" s="97">
        <f t="shared" si="172"/>
        <v>-1.6270801650601907E-2</v>
      </c>
      <c r="AU173" s="97">
        <f t="shared" si="173"/>
        <v>-2.4908693902393475E-3</v>
      </c>
      <c r="AV173" s="98">
        <f t="shared" si="184"/>
        <v>3.1307509580933424E-3</v>
      </c>
      <c r="AW173" s="4">
        <v>1026.9462768000001</v>
      </c>
      <c r="AX173" s="4">
        <f>SUMIFS($AW$3:$AW173,$D$3:$D173,D173)</f>
        <v>3037.8676747460004</v>
      </c>
      <c r="AY173" s="4">
        <f t="shared" si="163"/>
        <v>13242.015266380999</v>
      </c>
      <c r="AZ173" s="97">
        <f t="shared" si="174"/>
        <v>-4.3967174974202106E-4</v>
      </c>
      <c r="BA173" s="97">
        <f t="shared" si="175"/>
        <v>1.8046974553338702E-2</v>
      </c>
      <c r="BB173" s="97">
        <f t="shared" si="190"/>
        <v>2.3503318297883879E-3</v>
      </c>
      <c r="BC173" s="4">
        <v>688.55220425799996</v>
      </c>
      <c r="BD173" s="4">
        <f t="shared" si="154"/>
        <v>338.39407254200012</v>
      </c>
      <c r="BE173" s="4">
        <v>235.637568085</v>
      </c>
      <c r="BF173" s="4">
        <v>46.613511115000001</v>
      </c>
      <c r="BG173" s="4">
        <f t="shared" si="142"/>
        <v>6.703967250449077</v>
      </c>
      <c r="BH173" s="4">
        <f>Datos1[[#This Row],[Intereses]]/Datos1[[#This Row],[PIB nominal (miles de millones de G.)]]*100</f>
        <v>2.1266411692847428E-2</v>
      </c>
      <c r="BI173" s="4">
        <v>361.61742580500004</v>
      </c>
      <c r="BJ173" s="4">
        <v>318.26151523199997</v>
      </c>
      <c r="BK173" s="4">
        <v>45.831767760000005</v>
      </c>
      <c r="BL173" s="56">
        <f t="shared" si="192"/>
        <v>219.76033203099996</v>
      </c>
      <c r="BM173" s="56">
        <f>SUMIFS($BL$3:$BL173,$D$3:$D173,D173)</f>
        <v>357.80001669699891</v>
      </c>
      <c r="BN173" s="56">
        <f t="shared" si="156"/>
        <v>2553.4053573639994</v>
      </c>
      <c r="BO173" s="100">
        <f t="shared" si="176"/>
        <v>-2.6451320666478035</v>
      </c>
      <c r="BP173" s="100">
        <f t="shared" si="177"/>
        <v>2.8795682378823675</v>
      </c>
      <c r="BQ173" s="100">
        <f t="shared" si="185"/>
        <v>1.1133640773088036</v>
      </c>
      <c r="BR173" s="2">
        <f t="shared" si="144"/>
        <v>0.10026092398828496</v>
      </c>
      <c r="BS173" s="2">
        <f>+Datos1[[#This Row],[RON acumulado 12 meses]]/Datos1[[#This Row],[PIB nominal (miles de millones de G.)]]*100</f>
        <v>1.1649362652484458</v>
      </c>
      <c r="BT173" s="56">
        <v>470.49105823799999</v>
      </c>
      <c r="BU173" s="56">
        <f>SUMIFS($BT$3:$BT173,$D$3:$D173,D173)</f>
        <v>1096.0908055169998</v>
      </c>
      <c r="BV173" s="56">
        <f t="shared" si="164"/>
        <v>5057.732902617</v>
      </c>
      <c r="BW173" s="100">
        <f t="shared" si="178"/>
        <v>0.62166768250252669</v>
      </c>
      <c r="BX173" s="100">
        <f t="shared" si="179"/>
        <v>1.025529728795767</v>
      </c>
      <c r="BY173" s="100">
        <f t="shared" si="186"/>
        <v>0.3578269192413297</v>
      </c>
      <c r="BZ173" s="56">
        <f t="shared" si="145"/>
        <v>67.666145943717368</v>
      </c>
      <c r="CA173" s="56">
        <f>Datos1[[#This Row],[Adquisición Neta de Activos no Financieros]]/Datos1[[#This Row],[PIB nominal (miles de millones de G.)]]*100</f>
        <v>0.21465142408191154</v>
      </c>
      <c r="CB173" s="56">
        <f>+Datos1[[#This Row],[ANANF acumulado por año]]/Datos1[[#This Row],[PIB nominal (miles de millones de G.)]]*100</f>
        <v>0.50006785082894689</v>
      </c>
      <c r="CC173" s="56">
        <f>+Datos1[[#This Row],[ANANF acumulado 12 meses]]/Datos1[[#This Row],[PIB nominal (miles de millones de G.)]]*100</f>
        <v>2.3074818344868491</v>
      </c>
      <c r="CD173" s="4">
        <v>318.07040219699996</v>
      </c>
      <c r="CE173" s="4">
        <f t="shared" si="146"/>
        <v>45.744967685553291</v>
      </c>
      <c r="CF173" s="4">
        <f t="shared" si="147"/>
        <v>152.42065604100003</v>
      </c>
      <c r="CG173" s="4">
        <f t="shared" si="148"/>
        <v>21.921178258164076</v>
      </c>
      <c r="CH173" s="56">
        <f t="shared" si="149"/>
        <v>-250.73072620700003</v>
      </c>
      <c r="CI173" s="56">
        <f>SUMIFS($CH$3:$CH173,$D$3:$D173,D173)</f>
        <v>-738.2907888200009</v>
      </c>
      <c r="CJ173" s="56">
        <f t="shared" si="157"/>
        <v>-2504.3275452530006</v>
      </c>
      <c r="CK173" s="56">
        <f>Datos1[[#This Row],[Resultado Fiscal (miles de millones de G.)]]*1000/$F$207</f>
        <v>-36.060158030707541</v>
      </c>
      <c r="CL173" s="56">
        <f t="shared" si="165"/>
        <v>-360.1730366621332</v>
      </c>
      <c r="CM173" s="100">
        <f t="shared" si="180"/>
        <v>-0.40824934406919644</v>
      </c>
      <c r="CN173" s="100">
        <f t="shared" si="181"/>
        <v>0.64462586515505826</v>
      </c>
      <c r="CO173" s="100">
        <f t="shared" si="187"/>
        <v>-4.8982132967240188E-3</v>
      </c>
      <c r="CP173" s="4">
        <f t="shared" si="150"/>
        <v>-0.1143905000936266</v>
      </c>
      <c r="CQ173" s="4">
        <f t="shared" si="158"/>
        <v>-1.1425455692384032</v>
      </c>
      <c r="CR173" s="73">
        <v>1123.0781505099999</v>
      </c>
      <c r="CS173" s="113">
        <f>SUM(Datos1[[#This Row],[FFPP]:[MTESS]])</f>
        <v>0</v>
      </c>
      <c r="CT173" s="113"/>
      <c r="CU173" s="113"/>
      <c r="CV173" s="113"/>
      <c r="CW173" s="113"/>
      <c r="CX173" s="113"/>
      <c r="CY173" s="113"/>
      <c r="CZ173" s="113"/>
    </row>
    <row r="174" spans="1:104">
      <c r="A174">
        <v>172</v>
      </c>
      <c r="B174" s="3">
        <v>42826</v>
      </c>
      <c r="C174" s="14" t="str">
        <f t="shared" si="132"/>
        <v>Abril</v>
      </c>
      <c r="D174" s="14">
        <f t="shared" si="151"/>
        <v>2017</v>
      </c>
      <c r="E174" s="15">
        <f t="shared" si="133"/>
        <v>219188.41687183932</v>
      </c>
      <c r="F174" s="15">
        <f t="shared" si="191"/>
        <v>5618.9334516428034</v>
      </c>
      <c r="G174" s="56">
        <v>2364.3265376579998</v>
      </c>
      <c r="H174" s="4">
        <f t="shared" si="152"/>
        <v>1.0786731212354321</v>
      </c>
      <c r="I174" s="4">
        <f>SUMIFS($G$3:$G174,$D$3:$D174,D174)</f>
        <v>8960.2549409989988</v>
      </c>
      <c r="J174" s="2">
        <f t="shared" si="159"/>
        <v>28793.367817736002</v>
      </c>
      <c r="K174" s="95">
        <f t="shared" si="166"/>
        <v>4.1588912908980147E-2</v>
      </c>
      <c r="L174" s="95">
        <f t="shared" si="167"/>
        <v>4.7759530558135088E-2</v>
      </c>
      <c r="M174" s="95">
        <f t="shared" si="182"/>
        <v>5.541274256656159E-2</v>
      </c>
      <c r="N174" s="4">
        <v>1931.2282003149996</v>
      </c>
      <c r="O174" s="4">
        <f t="shared" si="135"/>
        <v>0.88108132166682851</v>
      </c>
      <c r="P174" s="4">
        <f>SUMIFS($N$3:$N174,$D$3:$D174,D174)</f>
        <v>6264.3494547709988</v>
      </c>
      <c r="Q174" s="4">
        <f t="shared" ref="Q174:Q205" si="193">SUM(N163:N174)</f>
        <v>19811.144012774999</v>
      </c>
      <c r="R174" s="97">
        <f t="shared" si="168"/>
        <v>4.7247636788259717E-2</v>
      </c>
      <c r="S174" s="97">
        <f t="shared" si="169"/>
        <v>5.6429863125818658E-2</v>
      </c>
      <c r="T174" s="97">
        <f t="shared" si="183"/>
        <v>8.3077321175866636E-2</v>
      </c>
      <c r="U174" s="4">
        <v>1324.8545319380003</v>
      </c>
      <c r="V174" s="4">
        <f t="shared" si="160"/>
        <v>11728.265410419001</v>
      </c>
      <c r="W174" s="97">
        <f t="shared" si="188"/>
        <v>0.10417623547276267</v>
      </c>
      <c r="X174" s="97">
        <f t="shared" si="170"/>
        <v>3.4042416753135019E-2</v>
      </c>
      <c r="Y174" s="4">
        <v>668.01325755700009</v>
      </c>
      <c r="Z174" s="4">
        <f t="shared" si="161"/>
        <v>8060.286451213</v>
      </c>
      <c r="AA174" s="97">
        <f t="shared" si="189"/>
        <v>5.3599960692967796E-2</v>
      </c>
      <c r="AB174" s="97">
        <f t="shared" si="171"/>
        <v>0.19121810621835245</v>
      </c>
      <c r="AC174" s="4">
        <v>85.75748175599999</v>
      </c>
      <c r="AD174" s="4">
        <f t="shared" si="136"/>
        <v>3.9125006229751125E-2</v>
      </c>
      <c r="AE174" s="4">
        <v>57.430151459000001</v>
      </c>
      <c r="AF174" s="4">
        <f t="shared" si="137"/>
        <v>2.6201271161413485E-2</v>
      </c>
      <c r="AG174" s="4">
        <v>289.91070412800002</v>
      </c>
      <c r="AH174" s="4">
        <f t="shared" si="138"/>
        <v>51.595326163409005</v>
      </c>
      <c r="AI174" s="4">
        <v>210.48791242199999</v>
      </c>
      <c r="AJ174" s="4">
        <f t="shared" si="139"/>
        <v>30.272426121498388</v>
      </c>
      <c r="AK174" s="101">
        <f>SUMIFS($AJ$3:$AJ174,$D$3:$D174,D174)</f>
        <v>167.55049668283365</v>
      </c>
      <c r="AL174" s="4">
        <v>0</v>
      </c>
      <c r="AM174" s="4">
        <f t="shared" si="140"/>
        <v>0</v>
      </c>
      <c r="AN174" s="101">
        <f>SUMIFS($AM$3:$AM174,$D$3:$D174,D174)</f>
        <v>10.287505336930115</v>
      </c>
      <c r="AO174" s="4">
        <f t="shared" si="153"/>
        <v>79.422791706000027</v>
      </c>
      <c r="AP174" s="56">
        <v>2224.6240156469999</v>
      </c>
      <c r="AQ174" s="4">
        <f t="shared" si="141"/>
        <v>1.0149368508591172</v>
      </c>
      <c r="AR174" s="4">
        <f>SUMIFS($AP$3:$AP174,$D$3:$D174,D174)</f>
        <v>8462.7524022910002</v>
      </c>
      <c r="AS174" s="4">
        <f t="shared" si="162"/>
        <v>26480.671318021003</v>
      </c>
      <c r="AT174" s="97">
        <f t="shared" si="172"/>
        <v>0.1857432038902378</v>
      </c>
      <c r="AU174" s="97">
        <f t="shared" si="173"/>
        <v>4.0948324052751728E-2</v>
      </c>
      <c r="AV174" s="98">
        <f t="shared" si="184"/>
        <v>1.8906702948195964E-2</v>
      </c>
      <c r="AW174" s="4">
        <v>1034.5938921279999</v>
      </c>
      <c r="AX174" s="4">
        <f>SUMIFS($AW$3:$AW174,$D$3:$D174,D174)</f>
        <v>4072.4615668740003</v>
      </c>
      <c r="AY174" s="4">
        <f t="shared" si="163"/>
        <v>13258.291559587999</v>
      </c>
      <c r="AZ174" s="97">
        <f t="shared" si="174"/>
        <v>1.5983513615247524E-2</v>
      </c>
      <c r="BA174" s="97">
        <f t="shared" si="175"/>
        <v>1.7521966094800945E-2</v>
      </c>
      <c r="BB174" s="97">
        <f t="shared" si="190"/>
        <v>3.4278011055359769E-3</v>
      </c>
      <c r="BC174" s="4">
        <v>687.38670643700004</v>
      </c>
      <c r="BD174" s="4">
        <f t="shared" si="154"/>
        <v>347.20718569099984</v>
      </c>
      <c r="BE174" s="4">
        <v>191.494050534</v>
      </c>
      <c r="BF174" s="4">
        <v>113.75139199799999</v>
      </c>
      <c r="BG174" s="4">
        <f t="shared" si="142"/>
        <v>16.359754680702242</v>
      </c>
      <c r="BH174" s="4">
        <f>Datos1[[#This Row],[Intereses]]/Datos1[[#This Row],[PIB nominal (miles de millones de G.)]]*100</f>
        <v>5.189662557055242E-2</v>
      </c>
      <c r="BI174" s="4">
        <v>532.58294263200003</v>
      </c>
      <c r="BJ174" s="4">
        <v>322.68578282000004</v>
      </c>
      <c r="BK174" s="4">
        <v>29.515955534999996</v>
      </c>
      <c r="BL174" s="56">
        <f t="shared" si="192"/>
        <v>139.70252201099993</v>
      </c>
      <c r="BM174" s="56">
        <f>SUMIFS($BL$3:$BL174,$D$3:$D174,D174)</f>
        <v>497.50253870799884</v>
      </c>
      <c r="BN174" s="56">
        <f t="shared" ref="BN174:BN205" si="194">SUM(BL163:BL174)</f>
        <v>2312.6964997149998</v>
      </c>
      <c r="BO174" s="100">
        <f t="shared" si="176"/>
        <v>-0.63275935084838486</v>
      </c>
      <c r="BP174" s="100">
        <f t="shared" si="177"/>
        <v>5.2607681888544144E-2</v>
      </c>
      <c r="BQ174" s="100">
        <f t="shared" si="185"/>
        <v>0.78957069833263382</v>
      </c>
      <c r="BR174" s="2">
        <f t="shared" si="144"/>
        <v>6.3736270376314991E-2</v>
      </c>
      <c r="BS174" s="2">
        <f>+Datos1[[#This Row],[RON acumulado 12 meses]]/Datos1[[#This Row],[PIB nominal (miles de millones de G.)]]*100</f>
        <v>1.0551180270932139</v>
      </c>
      <c r="BT174" s="56">
        <v>387.09788963800003</v>
      </c>
      <c r="BU174" s="56">
        <f>SUMIFS($BT$3:$BT174,$D$3:$D174,D174)</f>
        <v>1483.1886951549998</v>
      </c>
      <c r="BV174" s="56">
        <f t="shared" si="164"/>
        <v>5164.5594640829995</v>
      </c>
      <c r="BW174" s="100">
        <f t="shared" si="178"/>
        <v>0.3811540843751291</v>
      </c>
      <c r="BX174" s="100">
        <f t="shared" si="179"/>
        <v>0.80566364721205264</v>
      </c>
      <c r="BY174" s="100">
        <f t="shared" si="186"/>
        <v>0.38201469091768936</v>
      </c>
      <c r="BZ174" s="56">
        <f t="shared" si="145"/>
        <v>55.672518820750575</v>
      </c>
      <c r="CA174" s="56">
        <f>Datos1[[#This Row],[Adquisición Neta de Activos no Financieros]]/Datos1[[#This Row],[PIB nominal (miles de millones de G.)]]*100</f>
        <v>0.17660508486830229</v>
      </c>
      <c r="CB174" s="56">
        <f>+Datos1[[#This Row],[ANANF acumulado por año]]/Datos1[[#This Row],[PIB nominal (miles de millones de G.)]]*100</f>
        <v>0.67667293569724918</v>
      </c>
      <c r="CC174" s="56">
        <f>+Datos1[[#This Row],[ANANF acumulado 12 meses]]/Datos1[[#This Row],[PIB nominal (miles de millones de G.)]]*100</f>
        <v>2.3562191550946534</v>
      </c>
      <c r="CD174" s="4">
        <v>241.94309891700001</v>
      </c>
      <c r="CE174" s="4">
        <f t="shared" si="146"/>
        <v>34.796319196169392</v>
      </c>
      <c r="CF174" s="4">
        <f t="shared" si="147"/>
        <v>145.15479072100001</v>
      </c>
      <c r="CG174" s="4">
        <f t="shared" si="148"/>
        <v>20.876199624581179</v>
      </c>
      <c r="CH174" s="56">
        <f t="shared" si="149"/>
        <v>-247.3953676270001</v>
      </c>
      <c r="CI174" s="56">
        <f>SUMIFS($CH$3:$CH174,$D$3:$D174,D174)</f>
        <v>-985.68615644700094</v>
      </c>
      <c r="CJ174" s="56">
        <f t="shared" ref="CJ174:CJ205" si="195">SUM(CH163:CH174)</f>
        <v>-2851.8629643680006</v>
      </c>
      <c r="CK174" s="56">
        <f>Datos1[[#This Row],[Resultado Fiscal (miles de millones de G.)]]*1000/$F$207</f>
        <v>-35.58046589523078</v>
      </c>
      <c r="CL174" s="56">
        <f t="shared" si="165"/>
        <v>-410.15567071795556</v>
      </c>
      <c r="CM174" s="100">
        <f t="shared" si="180"/>
        <v>-3.4704937130639104</v>
      </c>
      <c r="CN174" s="100">
        <f t="shared" si="181"/>
        <v>1.8261697481621226</v>
      </c>
      <c r="CO174" s="100">
        <f t="shared" si="187"/>
        <v>0.16656856121766728</v>
      </c>
      <c r="CP174" s="4">
        <f t="shared" si="150"/>
        <v>-0.11286881449198728</v>
      </c>
      <c r="CQ174" s="4">
        <f t="shared" ref="CQ174:CQ205" si="196">+CJ174/E174*100</f>
        <v>-1.3011011280014404</v>
      </c>
      <c r="CR174" s="73">
        <v>1131.906293648</v>
      </c>
      <c r="CS174" s="113">
        <f>SUM(Datos1[[#This Row],[FFPP]:[MTESS]])</f>
        <v>0</v>
      </c>
      <c r="CT174" s="113"/>
      <c r="CU174" s="113"/>
      <c r="CV174" s="113"/>
      <c r="CW174" s="113"/>
      <c r="CX174" s="113"/>
      <c r="CY174" s="113"/>
      <c r="CZ174" s="113"/>
    </row>
    <row r="175" spans="1:104">
      <c r="A175">
        <v>173</v>
      </c>
      <c r="B175" s="3">
        <v>42856</v>
      </c>
      <c r="C175" s="14" t="str">
        <f t="shared" si="132"/>
        <v>Mayo</v>
      </c>
      <c r="D175" s="14">
        <f t="shared" si="151"/>
        <v>2017</v>
      </c>
      <c r="E175" s="15">
        <f t="shared" si="133"/>
        <v>219188.41687183932</v>
      </c>
      <c r="F175" s="15">
        <f t="shared" si="191"/>
        <v>5618.9334516428034</v>
      </c>
      <c r="G175" s="56">
        <v>2905.0983682309998</v>
      </c>
      <c r="H175" s="4">
        <f t="shared" si="152"/>
        <v>1.3253886358099054</v>
      </c>
      <c r="I175" s="4">
        <f>SUMIFS($G$3:$G175,$D$3:$D175,D175)</f>
        <v>11865.353309229999</v>
      </c>
      <c r="J175" s="2">
        <f t="shared" si="159"/>
        <v>29194.879257900997</v>
      </c>
      <c r="K175" s="95">
        <f t="shared" si="166"/>
        <v>6.8366150933974801E-2</v>
      </c>
      <c r="L175" s="95">
        <f t="shared" si="167"/>
        <v>0.16037447538327076</v>
      </c>
      <c r="M175" s="95">
        <f t="shared" si="182"/>
        <v>7.5753264163201939E-2</v>
      </c>
      <c r="N175" s="4">
        <v>2236.2742928339999</v>
      </c>
      <c r="O175" s="4">
        <f t="shared" si="135"/>
        <v>1.0202520392040433</v>
      </c>
      <c r="P175" s="4">
        <f>SUMIFS($N$3:$N175,$D$3:$D175,D175)</f>
        <v>8500.6237476049992</v>
      </c>
      <c r="Q175" s="4">
        <f t="shared" si="193"/>
        <v>20077.813446345001</v>
      </c>
      <c r="R175" s="97">
        <f t="shared" si="168"/>
        <v>0.13539235157535523</v>
      </c>
      <c r="S175" s="97">
        <f t="shared" si="169"/>
        <v>7.6118203892314495E-2</v>
      </c>
      <c r="T175" s="97">
        <f t="shared" si="183"/>
        <v>8.368498062517582E-2</v>
      </c>
      <c r="U175" s="4">
        <v>1401.9317740069998</v>
      </c>
      <c r="V175" s="4">
        <f t="shared" si="160"/>
        <v>11792.831149326003</v>
      </c>
      <c r="W175" s="97">
        <f t="shared" si="188"/>
        <v>8.8949656853726022E-2</v>
      </c>
      <c r="X175" s="97">
        <f t="shared" si="170"/>
        <v>4.8278285235628715E-2</v>
      </c>
      <c r="Y175" s="4">
        <v>747.69194174200004</v>
      </c>
      <c r="Z175" s="4">
        <f t="shared" si="161"/>
        <v>8242.7706495250004</v>
      </c>
      <c r="AA175" s="97">
        <f t="shared" si="189"/>
        <v>8.0228784545249399E-2</v>
      </c>
      <c r="AB175" s="97">
        <f t="shared" si="171"/>
        <v>0.32286216958844705</v>
      </c>
      <c r="AC175" s="4">
        <v>125.14153851899999</v>
      </c>
      <c r="AD175" s="4">
        <f t="shared" si="136"/>
        <v>5.7093134895066532E-2</v>
      </c>
      <c r="AE175" s="4">
        <v>165.96701027900002</v>
      </c>
      <c r="AF175" s="4">
        <f t="shared" si="137"/>
        <v>7.5718878144934929E-2</v>
      </c>
      <c r="AG175" s="4">
        <v>377.71552659900004</v>
      </c>
      <c r="AH175" s="4">
        <f t="shared" si="138"/>
        <v>67.221925628709414</v>
      </c>
      <c r="AI175" s="4">
        <v>244.50770624400002</v>
      </c>
      <c r="AJ175" s="4">
        <f t="shared" si="139"/>
        <v>35.165161686666465</v>
      </c>
      <c r="AK175" s="101">
        <f>SUMIFS($AJ$3:$AJ175,$D$3:$D175,D175)</f>
        <v>202.71565836950012</v>
      </c>
      <c r="AL175" s="4">
        <v>0</v>
      </c>
      <c r="AM175" s="4">
        <f t="shared" si="140"/>
        <v>0</v>
      </c>
      <c r="AN175" s="101">
        <f>SUMIFS($AM$3:$AM175,$D$3:$D175,D175)</f>
        <v>10.287505336930115</v>
      </c>
      <c r="AO175" s="4">
        <f t="shared" si="153"/>
        <v>133.20782035500002</v>
      </c>
      <c r="AP175" s="56">
        <v>2261.7736789279998</v>
      </c>
      <c r="AQ175" s="4">
        <f t="shared" si="141"/>
        <v>1.0318855855647113</v>
      </c>
      <c r="AR175" s="4">
        <f>SUMIFS($AP$3:$AP175,$D$3:$D175,D175)</f>
        <v>10724.526081218999</v>
      </c>
      <c r="AS175" s="4">
        <f t="shared" si="162"/>
        <v>26653.076871666999</v>
      </c>
      <c r="AT175" s="97">
        <f t="shared" si="172"/>
        <v>8.2515642676768586E-2</v>
      </c>
      <c r="AU175" s="97">
        <f t="shared" si="173"/>
        <v>4.9446962635504299E-2</v>
      </c>
      <c r="AV175" s="98">
        <f t="shared" si="184"/>
        <v>2.2590555848022165E-2</v>
      </c>
      <c r="AW175" s="4">
        <v>1026.8568987609999</v>
      </c>
      <c r="AX175" s="4">
        <f>SUMIFS($AW$3:$AW175,$D$3:$D175,D175)</f>
        <v>5099.3184656350004</v>
      </c>
      <c r="AY175" s="4">
        <f t="shared" si="163"/>
        <v>13287.805578547001</v>
      </c>
      <c r="AZ175" s="97">
        <f t="shared" si="174"/>
        <v>2.9592650187525438E-2</v>
      </c>
      <c r="BA175" s="97">
        <f t="shared" si="175"/>
        <v>1.9929844433462574E-2</v>
      </c>
      <c r="BB175" s="97">
        <f t="shared" si="190"/>
        <v>6.8640880999584208E-3</v>
      </c>
      <c r="BC175" s="4">
        <v>687.47745171700001</v>
      </c>
      <c r="BD175" s="4">
        <f t="shared" si="154"/>
        <v>339.3794470439999</v>
      </c>
      <c r="BE175" s="4">
        <v>225.983699726</v>
      </c>
      <c r="BF175" s="4">
        <v>52.878476325000001</v>
      </c>
      <c r="BG175" s="4">
        <f t="shared" si="142"/>
        <v>7.604996170785598</v>
      </c>
      <c r="BH175" s="4">
        <f>Datos1[[#This Row],[Intereses]]/Datos1[[#This Row],[PIB nominal (miles de millones de G.)]]*100</f>
        <v>2.4124667297505203E-2</v>
      </c>
      <c r="BI175" s="4">
        <v>353.02170198599998</v>
      </c>
      <c r="BJ175" s="4">
        <v>376.96767199999999</v>
      </c>
      <c r="BK175" s="4">
        <v>226.06523013</v>
      </c>
      <c r="BL175" s="56">
        <f t="shared" si="192"/>
        <v>643.32468930300001</v>
      </c>
      <c r="BM175" s="56">
        <f>SUMIFS($BL$3:$BL175,$D$3:$D175,D175)</f>
        <v>1140.8272280109989</v>
      </c>
      <c r="BN175" s="56">
        <f t="shared" si="194"/>
        <v>2541.8023862339992</v>
      </c>
      <c r="BO175" s="100">
        <f t="shared" si="176"/>
        <v>0.55310354088022895</v>
      </c>
      <c r="BP175" s="100">
        <f t="shared" si="177"/>
        <v>0.28637119560864432</v>
      </c>
      <c r="BQ175" s="100">
        <f t="shared" si="185"/>
        <v>1.365039115669763</v>
      </c>
      <c r="BR175" s="2">
        <f t="shared" si="144"/>
        <v>0.29350305024519407</v>
      </c>
      <c r="BS175" s="2">
        <f>+Datos1[[#This Row],[RON acumulado 12 meses]]/Datos1[[#This Row],[PIB nominal (miles de millones de G.)]]*100</f>
        <v>1.1596426592743745</v>
      </c>
      <c r="BT175" s="56">
        <v>466.57395322099995</v>
      </c>
      <c r="BU175" s="56">
        <f>SUMIFS($BT$3:$BT175,$D$3:$D175,D175)</f>
        <v>1949.7626483759998</v>
      </c>
      <c r="BV175" s="56">
        <f t="shared" si="164"/>
        <v>5160.9179133580001</v>
      </c>
      <c r="BW175" s="100">
        <f t="shared" si="178"/>
        <v>-7.7444292977169038E-3</v>
      </c>
      <c r="BX175" s="100">
        <f t="shared" si="179"/>
        <v>0.50954272797637912</v>
      </c>
      <c r="BY175" s="100">
        <f t="shared" si="186"/>
        <v>0.30333947627982916</v>
      </c>
      <c r="BZ175" s="56">
        <f t="shared" si="145"/>
        <v>67.102786884886726</v>
      </c>
      <c r="CA175" s="56">
        <f>Datos1[[#This Row],[Adquisición Neta de Activos no Financieros]]/Datos1[[#This Row],[PIB nominal (miles de millones de G.)]]*100</f>
        <v>0.21286432918296425</v>
      </c>
      <c r="CB175" s="56">
        <f>+Datos1[[#This Row],[ANANF acumulado por año]]/Datos1[[#This Row],[PIB nominal (miles de millones de G.)]]*100</f>
        <v>0.88953726488021334</v>
      </c>
      <c r="CC175" s="56">
        <f>+Datos1[[#This Row],[ANANF acumulado 12 meses]]/Datos1[[#This Row],[PIB nominal (miles de millones de G.)]]*100</f>
        <v>2.3545577759136869</v>
      </c>
      <c r="CD175" s="4">
        <v>372.30837147199998</v>
      </c>
      <c r="CE175" s="4">
        <f t="shared" si="146"/>
        <v>53.54548648477877</v>
      </c>
      <c r="CF175" s="4">
        <f t="shared" si="147"/>
        <v>94.265581748999978</v>
      </c>
      <c r="CG175" s="4">
        <f t="shared" si="148"/>
        <v>13.557300400107955</v>
      </c>
      <c r="CH175" s="56">
        <f t="shared" si="149"/>
        <v>176.75073608200006</v>
      </c>
      <c r="CI175" s="56">
        <f>SUMIFS($CH$3:$CH175,$D$3:$D175,D175)</f>
        <v>-808.93542036500094</v>
      </c>
      <c r="CJ175" s="56">
        <f t="shared" si="195"/>
        <v>-2619.1155271240009</v>
      </c>
      <c r="CK175" s="56">
        <f>Datos1[[#This Row],[Resultado Fiscal (miles de millones de G.)]]*1000/$F$207</f>
        <v>25.420336675843998</v>
      </c>
      <c r="CL175" s="56">
        <f t="shared" si="165"/>
        <v>-376.6818739670469</v>
      </c>
      <c r="CM175" s="100">
        <f t="shared" si="180"/>
        <v>-4.1564490838604184</v>
      </c>
      <c r="CN175" s="100">
        <f t="shared" si="181"/>
        <v>0.99851752555592155</v>
      </c>
      <c r="CO175" s="100">
        <f t="shared" si="187"/>
        <v>-9.2168798859744605E-2</v>
      </c>
      <c r="CP175" s="4">
        <f t="shared" si="150"/>
        <v>8.0638721062229843E-2</v>
      </c>
      <c r="CQ175" s="4">
        <f t="shared" si="196"/>
        <v>-1.1949151166393124</v>
      </c>
      <c r="CR175" s="73">
        <v>1116.3740948259999</v>
      </c>
      <c r="CS175" s="113">
        <f>SUM(Datos1[[#This Row],[FFPP]:[MTESS]])</f>
        <v>0</v>
      </c>
      <c r="CT175" s="113"/>
      <c r="CU175" s="113"/>
      <c r="CV175" s="113"/>
      <c r="CW175" s="113"/>
      <c r="CX175" s="113"/>
      <c r="CY175" s="113"/>
      <c r="CZ175" s="113"/>
    </row>
    <row r="176" spans="1:104">
      <c r="A176">
        <v>174</v>
      </c>
      <c r="B176" s="3">
        <v>42887</v>
      </c>
      <c r="C176" s="14" t="str">
        <f t="shared" si="132"/>
        <v>Junio</v>
      </c>
      <c r="D176" s="14">
        <f t="shared" si="151"/>
        <v>2017</v>
      </c>
      <c r="E176" s="15">
        <f t="shared" si="133"/>
        <v>219188.41687183932</v>
      </c>
      <c r="F176" s="15">
        <f t="shared" si="191"/>
        <v>5618.9334516428034</v>
      </c>
      <c r="G176" s="56">
        <v>2359.3407100130003</v>
      </c>
      <c r="H176" s="4">
        <f t="shared" si="152"/>
        <v>1.076398444627902</v>
      </c>
      <c r="I176" s="4">
        <f>SUMIFS($G$3:$G176,$D$3:$D176,D176)</f>
        <v>14224.694019242999</v>
      </c>
      <c r="J176" s="2">
        <f t="shared" si="159"/>
        <v>29433.960182642997</v>
      </c>
      <c r="K176" s="95">
        <f t="shared" si="166"/>
        <v>7.5482781078864747E-2</v>
      </c>
      <c r="L176" s="95">
        <f t="shared" si="167"/>
        <v>0.11276020344433513</v>
      </c>
      <c r="M176" s="95">
        <f t="shared" si="182"/>
        <v>8.6800852291082586E-2</v>
      </c>
      <c r="N176" s="4">
        <v>1733.5269632600002</v>
      </c>
      <c r="O176" s="4">
        <f t="shared" si="135"/>
        <v>0.79088438522442683</v>
      </c>
      <c r="P176" s="4">
        <f>SUMIFS($N$3:$N176,$D$3:$D176,D176)</f>
        <v>10234.150710865</v>
      </c>
      <c r="Q176" s="4">
        <f t="shared" si="193"/>
        <v>20311.242667077</v>
      </c>
      <c r="R176" s="97">
        <f t="shared" si="168"/>
        <v>0.15560934072110522</v>
      </c>
      <c r="S176" s="97">
        <f t="shared" si="169"/>
        <v>8.8804544938735352E-2</v>
      </c>
      <c r="T176" s="97">
        <f t="shared" si="183"/>
        <v>9.0182155519853202E-2</v>
      </c>
      <c r="U176" s="4">
        <v>1034.6856670490001</v>
      </c>
      <c r="V176" s="4">
        <f t="shared" si="160"/>
        <v>11944.747978985</v>
      </c>
      <c r="W176" s="97">
        <f t="shared" si="188"/>
        <v>9.1361318738317099E-2</v>
      </c>
      <c r="X176" s="97">
        <f t="shared" si="170"/>
        <v>0.17209129188130201</v>
      </c>
      <c r="Y176" s="4">
        <v>717.244212898</v>
      </c>
      <c r="Z176" s="4">
        <f t="shared" si="161"/>
        <v>8346.7296621629994</v>
      </c>
      <c r="AA176" s="97">
        <f t="shared" si="189"/>
        <v>0.10006251290847246</v>
      </c>
      <c r="AB176" s="97">
        <f t="shared" si="171"/>
        <v>0.16951169308166381</v>
      </c>
      <c r="AC176" s="4">
        <v>116.96536825699999</v>
      </c>
      <c r="AD176" s="4">
        <f t="shared" si="136"/>
        <v>5.336293309942116E-2</v>
      </c>
      <c r="AE176" s="4">
        <v>66.554855008999994</v>
      </c>
      <c r="AF176" s="4">
        <f t="shared" si="137"/>
        <v>3.036422086478912E-2</v>
      </c>
      <c r="AG176" s="4">
        <v>442.29352348700002</v>
      </c>
      <c r="AH176" s="4">
        <f t="shared" si="138"/>
        <v>78.71485350261392</v>
      </c>
      <c r="AI176" s="4">
        <v>269.81765203800001</v>
      </c>
      <c r="AJ176" s="4">
        <f t="shared" si="139"/>
        <v>38.805244650917061</v>
      </c>
      <c r="AK176" s="101">
        <f>SUMIFS($AJ$3:$AJ176,$D$3:$D176,D176)</f>
        <v>241.52090302041717</v>
      </c>
      <c r="AL176" s="4">
        <v>40.579722003000001</v>
      </c>
      <c r="AM176" s="4">
        <f t="shared" si="140"/>
        <v>5.8361861364461145</v>
      </c>
      <c r="AN176" s="101">
        <f>SUMIFS($AM$3:$AM176,$D$3:$D176,D176)</f>
        <v>16.12369147337623</v>
      </c>
      <c r="AO176" s="4">
        <f t="shared" si="153"/>
        <v>131.89614944600001</v>
      </c>
      <c r="AP176" s="56">
        <v>2195.646197563</v>
      </c>
      <c r="AQ176" s="4">
        <f t="shared" si="141"/>
        <v>1.0017163447313033</v>
      </c>
      <c r="AR176" s="4">
        <f>SUMIFS($AP$3:$AP176,$D$3:$D176,D176)</f>
        <v>12920.172278782</v>
      </c>
      <c r="AS176" s="4">
        <f t="shared" si="162"/>
        <v>26833.286229984002</v>
      </c>
      <c r="AT176" s="97">
        <f t="shared" si="172"/>
        <v>8.9414540216709915E-2</v>
      </c>
      <c r="AU176" s="97">
        <f t="shared" si="173"/>
        <v>5.6030894661242225E-2</v>
      </c>
      <c r="AV176" s="98">
        <f t="shared" si="184"/>
        <v>3.3228863111598894E-2</v>
      </c>
      <c r="AW176" s="4">
        <v>1209.7742202760001</v>
      </c>
      <c r="AX176" s="4">
        <f>SUMIFS($AW$3:$AW176,$D$3:$D176,D176)</f>
        <v>6309.0926859110004</v>
      </c>
      <c r="AY176" s="4">
        <f t="shared" si="163"/>
        <v>13442.448281137998</v>
      </c>
      <c r="AZ176" s="97">
        <f t="shared" si="174"/>
        <v>0.14656249007734323</v>
      </c>
      <c r="BA176" s="97">
        <f t="shared" si="175"/>
        <v>4.1997284508369814E-2</v>
      </c>
      <c r="BB176" s="97">
        <f t="shared" si="190"/>
        <v>1.5697314154932807E-2</v>
      </c>
      <c r="BC176" s="4">
        <v>858.38880400699998</v>
      </c>
      <c r="BD176" s="4">
        <f t="shared" si="154"/>
        <v>351.38541626900007</v>
      </c>
      <c r="BE176" s="4">
        <v>206.29261764499998</v>
      </c>
      <c r="BF176" s="4">
        <v>17.810227117</v>
      </c>
      <c r="BG176" s="4">
        <f t="shared" si="142"/>
        <v>2.5614714802508414</v>
      </c>
      <c r="BH176" s="4">
        <f>Datos1[[#This Row],[Intereses]]/Datos1[[#This Row],[PIB nominal (miles de millones de G.)]]*100</f>
        <v>8.1255329871804949E-3</v>
      </c>
      <c r="BI176" s="4">
        <v>343.74254986999995</v>
      </c>
      <c r="BJ176" s="4">
        <v>374.57735664799998</v>
      </c>
      <c r="BK176" s="4">
        <v>43.449226006999986</v>
      </c>
      <c r="BL176" s="56">
        <f t="shared" si="192"/>
        <v>163.69451245000027</v>
      </c>
      <c r="BM176" s="56">
        <f>SUMIFS($BL$3:$BL176,$D$3:$D176,D176)</f>
        <v>1304.5217404609991</v>
      </c>
      <c r="BN176" s="56">
        <f t="shared" si="194"/>
        <v>2600.6739526589995</v>
      </c>
      <c r="BO176" s="100">
        <f t="shared" si="176"/>
        <v>0.5616286190903208</v>
      </c>
      <c r="BP176" s="100">
        <f t="shared" si="177"/>
        <v>0.31546656632324233</v>
      </c>
      <c r="BQ176" s="100">
        <f t="shared" si="185"/>
        <v>1.3370539308386356</v>
      </c>
      <c r="BR176" s="2">
        <f t="shared" si="144"/>
        <v>7.4682099896598714E-2</v>
      </c>
      <c r="BS176" s="2">
        <f>+Datos1[[#This Row],[RON acumulado 12 meses]]/Datos1[[#This Row],[PIB nominal (miles de millones de G.)]]*100</f>
        <v>1.186501545006198</v>
      </c>
      <c r="BT176" s="56">
        <v>320.16735707700002</v>
      </c>
      <c r="BU176" s="56">
        <f>SUMIFS($BT$3:$BT176,$D$3:$D176,D176)</f>
        <v>2269.9300054529999</v>
      </c>
      <c r="BV176" s="56">
        <f t="shared" si="164"/>
        <v>5087.771680973</v>
      </c>
      <c r="BW176" s="100">
        <f t="shared" si="178"/>
        <v>-0.18597433280923292</v>
      </c>
      <c r="BX176" s="100">
        <f t="shared" si="179"/>
        <v>0.34718882096028203</v>
      </c>
      <c r="BY176" s="100">
        <f t="shared" si="186"/>
        <v>0.23208275492057817</v>
      </c>
      <c r="BZ176" s="56">
        <f t="shared" si="145"/>
        <v>46.046552279910649</v>
      </c>
      <c r="CA176" s="56">
        <f>Datos1[[#This Row],[Adquisición Neta de Activos no Financieros]]/Datos1[[#This Row],[PIB nominal (miles de millones de G.)]]*100</f>
        <v>0.14606946920201702</v>
      </c>
      <c r="CB176" s="56">
        <f>+Datos1[[#This Row],[ANANF acumulado por año]]/Datos1[[#This Row],[PIB nominal (miles de millones de G.)]]*100</f>
        <v>1.0356067340822304</v>
      </c>
      <c r="CC176" s="56">
        <f>+Datos1[[#This Row],[ANANF acumulado 12 meses]]/Datos1[[#This Row],[PIB nominal (miles de millones de G.)]]*100</f>
        <v>2.3211863809153055</v>
      </c>
      <c r="CD176" s="4">
        <v>202.39327809099998</v>
      </c>
      <c r="CE176" s="4">
        <f t="shared" si="146"/>
        <v>29.108253713942457</v>
      </c>
      <c r="CF176" s="4">
        <f t="shared" si="147"/>
        <v>117.77407898600003</v>
      </c>
      <c r="CG176" s="4">
        <f t="shared" si="148"/>
        <v>16.938298565968196</v>
      </c>
      <c r="CH176" s="56">
        <f t="shared" si="149"/>
        <v>-156.47284462699974</v>
      </c>
      <c r="CI176" s="56">
        <f>SUMIFS($CH$3:$CH176,$D$3:$D176,D176)</f>
        <v>-965.40826499200068</v>
      </c>
      <c r="CJ176" s="56">
        <f t="shared" si="195"/>
        <v>-2487.097728314001</v>
      </c>
      <c r="CK176" s="56">
        <f>Datos1[[#This Row],[Resultado Fiscal (miles de millones de G.)]]*1000/$F$207</f>
        <v>-22.50396507090095</v>
      </c>
      <c r="CL176" s="56">
        <f t="shared" si="165"/>
        <v>-357.69503992412047</v>
      </c>
      <c r="CM176" s="100">
        <f t="shared" si="180"/>
        <v>-0.45761553039355318</v>
      </c>
      <c r="CN176" s="100">
        <f t="shared" si="181"/>
        <v>0.39256630617755839</v>
      </c>
      <c r="CO176" s="100">
        <f t="shared" si="187"/>
        <v>-0.17553148479979397</v>
      </c>
      <c r="CP176" s="4">
        <f t="shared" si="150"/>
        <v>-7.1387369305418308E-2</v>
      </c>
      <c r="CQ176" s="4">
        <f t="shared" si="196"/>
        <v>-1.1346848359091077</v>
      </c>
      <c r="CR176" s="73">
        <v>1295.4294606379999</v>
      </c>
      <c r="CS176" s="113">
        <f>SUM(Datos1[[#This Row],[FFPP]:[MTESS]])</f>
        <v>0</v>
      </c>
      <c r="CT176" s="113"/>
      <c r="CU176" s="113"/>
      <c r="CV176" s="113"/>
      <c r="CW176" s="113"/>
      <c r="CX176" s="113"/>
      <c r="CY176" s="113"/>
      <c r="CZ176" s="113"/>
    </row>
    <row r="177" spans="1:104">
      <c r="A177">
        <v>175</v>
      </c>
      <c r="B177" s="3">
        <v>42917</v>
      </c>
      <c r="C177" s="14" t="str">
        <f t="shared" si="132"/>
        <v>Julio</v>
      </c>
      <c r="D177" s="14">
        <f t="shared" si="151"/>
        <v>2017</v>
      </c>
      <c r="E177" s="15">
        <f t="shared" si="133"/>
        <v>219188.41687183932</v>
      </c>
      <c r="F177" s="15">
        <f t="shared" si="191"/>
        <v>5618.9334516428034</v>
      </c>
      <c r="G177" s="56">
        <v>2713.7011405139997</v>
      </c>
      <c r="H177" s="4">
        <f t="shared" si="152"/>
        <v>1.2380677680156409</v>
      </c>
      <c r="I177" s="4">
        <f>SUMIFS($G$3:$G177,$D$3:$D177,D177)</f>
        <v>16938.395159756998</v>
      </c>
      <c r="J177" s="2">
        <f t="shared" si="159"/>
        <v>29862.672034646999</v>
      </c>
      <c r="K177" s="95">
        <f t="shared" si="166"/>
        <v>9.2001972123224141E-2</v>
      </c>
      <c r="L177" s="95">
        <f t="shared" si="167"/>
        <v>0.18762094604108848</v>
      </c>
      <c r="M177" s="95">
        <f t="shared" si="182"/>
        <v>9.7972024437400274E-2</v>
      </c>
      <c r="N177" s="4">
        <v>2042.855915714</v>
      </c>
      <c r="O177" s="4">
        <f t="shared" si="135"/>
        <v>0.93200906547377882</v>
      </c>
      <c r="P177" s="4">
        <f>SUMIFS($N$3:$N177,$D$3:$D177,D177)</f>
        <v>12277.006626579001</v>
      </c>
      <c r="Q177" s="4">
        <f t="shared" si="193"/>
        <v>20639.759447259999</v>
      </c>
      <c r="R177" s="97">
        <f t="shared" si="168"/>
        <v>0.19162881682756749</v>
      </c>
      <c r="S177" s="97">
        <f t="shared" si="169"/>
        <v>0.10466554995423838</v>
      </c>
      <c r="T177" s="97">
        <f t="shared" si="183"/>
        <v>0.1078131935545763</v>
      </c>
      <c r="U177" s="4">
        <v>1304.188481358</v>
      </c>
      <c r="V177" s="4">
        <f t="shared" si="160"/>
        <v>12053.329928759</v>
      </c>
      <c r="W177" s="97">
        <f t="shared" si="188"/>
        <v>8.2909737082461854E-2</v>
      </c>
      <c r="X177" s="97">
        <f t="shared" si="170"/>
        <v>9.0817461184446335E-2</v>
      </c>
      <c r="Y177" s="4">
        <v>735.45646991500007</v>
      </c>
      <c r="Z177" s="4">
        <f t="shared" si="161"/>
        <v>8533.616548162001</v>
      </c>
      <c r="AA177" s="97">
        <f t="shared" si="189"/>
        <v>0.14611893149501065</v>
      </c>
      <c r="AB177" s="97">
        <f t="shared" si="171"/>
        <v>0.34068036485890385</v>
      </c>
      <c r="AC177" s="4">
        <v>150.213224002</v>
      </c>
      <c r="AD177" s="4">
        <f t="shared" si="136"/>
        <v>6.8531552052693775E-2</v>
      </c>
      <c r="AE177" s="4">
        <v>66.142122758000014</v>
      </c>
      <c r="AF177" s="4">
        <f t="shared" si="137"/>
        <v>3.0175920653997729E-2</v>
      </c>
      <c r="AG177" s="4">
        <v>454.48987803999995</v>
      </c>
      <c r="AH177" s="4">
        <f t="shared" si="138"/>
        <v>80.885435279024534</v>
      </c>
      <c r="AI177" s="4">
        <v>279.50283751199999</v>
      </c>
      <c r="AJ177" s="4">
        <f t="shared" si="139"/>
        <v>40.198170536118774</v>
      </c>
      <c r="AK177" s="101">
        <f>SUMIFS($AJ$3:$AJ177,$D$3:$D177,D177)</f>
        <v>281.71907355653593</v>
      </c>
      <c r="AL177" s="4">
        <v>0</v>
      </c>
      <c r="AM177" s="4">
        <f t="shared" si="140"/>
        <v>0</v>
      </c>
      <c r="AN177" s="101">
        <f>SUMIFS($AM$3:$AM177,$D$3:$D177,D177)</f>
        <v>16.12369147337623</v>
      </c>
      <c r="AO177" s="4">
        <f t="shared" si="153"/>
        <v>174.98704052799997</v>
      </c>
      <c r="AP177" s="56">
        <v>2260.684922764</v>
      </c>
      <c r="AQ177" s="4">
        <f t="shared" si="141"/>
        <v>1.0313888639862914</v>
      </c>
      <c r="AR177" s="4">
        <f>SUMIFS($AP$3:$AP177,$D$3:$D177,D177)</f>
        <v>15180.857201545999</v>
      </c>
      <c r="AS177" s="4">
        <f t="shared" si="162"/>
        <v>26823.358482696003</v>
      </c>
      <c r="AT177" s="97">
        <f t="shared" si="172"/>
        <v>-4.3722768832133996E-3</v>
      </c>
      <c r="AU177" s="97">
        <f t="shared" si="173"/>
        <v>4.6575555941797075E-2</v>
      </c>
      <c r="AV177" s="98">
        <f t="shared" si="184"/>
        <v>3.2847033544413762E-2</v>
      </c>
      <c r="AW177" s="4">
        <v>1071.2471129459998</v>
      </c>
      <c r="AX177" s="4">
        <f>SUMIFS($AW$3:$AW177,$D$3:$D177,D177)</f>
        <v>7380.3397988570005</v>
      </c>
      <c r="AY177" s="4">
        <f t="shared" si="163"/>
        <v>13486.187874125999</v>
      </c>
      <c r="AZ177" s="97">
        <f t="shared" si="174"/>
        <v>4.2568635400145549E-2</v>
      </c>
      <c r="BA177" s="97">
        <f t="shared" si="175"/>
        <v>4.2080176523062285E-2</v>
      </c>
      <c r="BB177" s="97">
        <f t="shared" si="190"/>
        <v>1.754866193681659E-2</v>
      </c>
      <c r="BC177" s="4">
        <v>726.74063281199994</v>
      </c>
      <c r="BD177" s="4">
        <f t="shared" si="154"/>
        <v>344.50648013399984</v>
      </c>
      <c r="BE177" s="4">
        <v>202.08146829099999</v>
      </c>
      <c r="BF177" s="4">
        <v>150.04371167100001</v>
      </c>
      <c r="BG177" s="4">
        <f t="shared" si="142"/>
        <v>21.579325502783636</v>
      </c>
      <c r="BH177" s="4">
        <f>Datos1[[#This Row],[Intereses]]/Datos1[[#This Row],[PIB nominal (miles de millones de G.)]]*100</f>
        <v>6.8454215698237106E-2</v>
      </c>
      <c r="BI177" s="4">
        <v>353.82573100100001</v>
      </c>
      <c r="BJ177" s="4">
        <v>342.91957180999998</v>
      </c>
      <c r="BK177" s="4">
        <v>140.56732704500001</v>
      </c>
      <c r="BL177" s="56">
        <f t="shared" si="192"/>
        <v>453.01621774999967</v>
      </c>
      <c r="BM177" s="56">
        <f>SUMIFS($BL$3:$BL177,$D$3:$D177,D177)</f>
        <v>1757.5379582109988</v>
      </c>
      <c r="BN177" s="56">
        <f t="shared" si="194"/>
        <v>3039.3135519509992</v>
      </c>
      <c r="BO177" s="100">
        <f t="shared" si="176"/>
        <v>30.510623939381002</v>
      </c>
      <c r="BP177" s="100">
        <f t="shared" si="177"/>
        <v>0.74695749447897142</v>
      </c>
      <c r="BQ177" s="100">
        <f t="shared" si="185"/>
        <v>1.475584529305634</v>
      </c>
      <c r="BR177" s="2">
        <f t="shared" si="144"/>
        <v>0.20667890402934966</v>
      </c>
      <c r="BS177" s="2">
        <f>+Datos1[[#This Row],[RON acumulado 12 meses]]/Datos1[[#This Row],[PIB nominal (miles de millones de G.)]]*100</f>
        <v>1.3866214261349872</v>
      </c>
      <c r="BT177" s="56">
        <v>290.9375354309999</v>
      </c>
      <c r="BU177" s="56">
        <f>SUMIFS($BT$3:$BT177,$D$3:$D177,D177)</f>
        <v>2560.8675408839999</v>
      </c>
      <c r="BV177" s="56">
        <f t="shared" si="164"/>
        <v>4970.099886306999</v>
      </c>
      <c r="BW177" s="100">
        <f t="shared" si="178"/>
        <v>-0.28798117418920899</v>
      </c>
      <c r="BX177" s="100">
        <f t="shared" si="179"/>
        <v>0.22321916016711008</v>
      </c>
      <c r="BY177" s="100">
        <f t="shared" si="186"/>
        <v>0.16909482633839179</v>
      </c>
      <c r="BZ177" s="56">
        <f t="shared" si="145"/>
        <v>41.842711754621519</v>
      </c>
      <c r="CA177" s="56">
        <f>Datos1[[#This Row],[Adquisición Neta de Activos no Financieros]]/Datos1[[#This Row],[PIB nominal (miles de millones de G.)]]*100</f>
        <v>0.13273399187016013</v>
      </c>
      <c r="CB177" s="56">
        <f>+Datos1[[#This Row],[ANANF acumulado por año]]/Datos1[[#This Row],[PIB nominal (miles de millones de G.)]]*100</f>
        <v>1.1683407259523908</v>
      </c>
      <c r="CC177" s="56">
        <f>+Datos1[[#This Row],[ANANF acumulado 12 meses]]/Datos1[[#This Row],[PIB nominal (miles de millones de G.)]]*100</f>
        <v>2.2675011559634761</v>
      </c>
      <c r="CD177" s="4">
        <v>177.53677532100002</v>
      </c>
      <c r="CE177" s="4">
        <f t="shared" si="146"/>
        <v>25.533385042932743</v>
      </c>
      <c r="CF177" s="4">
        <f t="shared" si="147"/>
        <v>113.40076010999988</v>
      </c>
      <c r="CG177" s="4">
        <f t="shared" si="148"/>
        <v>16.309326711688779</v>
      </c>
      <c r="CH177" s="56">
        <f t="shared" si="149"/>
        <v>162.07868231899977</v>
      </c>
      <c r="CI177" s="56">
        <f>SUMIFS($CH$3:$CH177,$D$3:$D177,D177)</f>
        <v>-803.32958267300091</v>
      </c>
      <c r="CJ177" s="56">
        <f t="shared" si="195"/>
        <v>-1930.7863343560011</v>
      </c>
      <c r="CK177" s="56">
        <f>Datos1[[#This Row],[Resultado Fiscal (miles de millones de G.)]]*1000/$F$207</f>
        <v>23.31019810075756</v>
      </c>
      <c r="CL177" s="56">
        <f t="shared" si="165"/>
        <v>-277.68619105313348</v>
      </c>
      <c r="CM177" s="100">
        <f t="shared" si="180"/>
        <v>-1.4111243880427042</v>
      </c>
      <c r="CN177" s="100">
        <f t="shared" si="181"/>
        <v>-0.2613000814651214</v>
      </c>
      <c r="CO177" s="100">
        <f t="shared" si="187"/>
        <v>-0.36141153167108653</v>
      </c>
      <c r="CP177" s="4">
        <f t="shared" si="150"/>
        <v>7.3944912159189538E-2</v>
      </c>
      <c r="CQ177" s="4">
        <f t="shared" si="196"/>
        <v>-0.88087972982848939</v>
      </c>
      <c r="CR177" s="73">
        <v>1159.6613815430001</v>
      </c>
      <c r="CS177" s="113">
        <f>SUM(Datos1[[#This Row],[FFPP]:[MTESS]])</f>
        <v>0</v>
      </c>
      <c r="CT177" s="113"/>
      <c r="CU177" s="113"/>
      <c r="CV177" s="113"/>
      <c r="CW177" s="113"/>
      <c r="CX177" s="113"/>
      <c r="CY177" s="113"/>
      <c r="CZ177" s="113"/>
    </row>
    <row r="178" spans="1:104">
      <c r="A178">
        <v>176</v>
      </c>
      <c r="B178" s="3">
        <v>42948</v>
      </c>
      <c r="C178" s="14" t="str">
        <f t="shared" si="132"/>
        <v>Agosto</v>
      </c>
      <c r="D178" s="14">
        <f t="shared" si="151"/>
        <v>2017</v>
      </c>
      <c r="E178" s="15">
        <f t="shared" si="133"/>
        <v>219188.41687183932</v>
      </c>
      <c r="F178" s="15">
        <f t="shared" si="191"/>
        <v>5618.9334516428034</v>
      </c>
      <c r="G178" s="56">
        <v>2707.996534767</v>
      </c>
      <c r="H178" s="4">
        <f t="shared" si="152"/>
        <v>1.235465164361482</v>
      </c>
      <c r="I178" s="4">
        <f>SUMIFS($G$3:$G178,$D$3:$D178,D178)</f>
        <v>19646.391694523998</v>
      </c>
      <c r="J178" s="2">
        <f t="shared" si="159"/>
        <v>30008.335025131997</v>
      </c>
      <c r="K178" s="95">
        <f t="shared" si="166"/>
        <v>8.7018102407968367E-2</v>
      </c>
      <c r="L178" s="95">
        <f t="shared" si="167"/>
        <v>5.6847786585027205E-2</v>
      </c>
      <c r="M178" s="95">
        <f t="shared" si="182"/>
        <v>7.8594864161513733E-2</v>
      </c>
      <c r="N178" s="4">
        <v>1800.97055525</v>
      </c>
      <c r="O178" s="4">
        <f t="shared" si="135"/>
        <v>0.82165407321822004</v>
      </c>
      <c r="P178" s="4">
        <f>SUMIFS($N$3:$N178,$D$3:$D178,D178)</f>
        <v>14077.977181829001</v>
      </c>
      <c r="Q178" s="4">
        <f t="shared" si="193"/>
        <v>20958.372328563004</v>
      </c>
      <c r="R178" s="97">
        <f t="shared" si="168"/>
        <v>0.21493657495943275</v>
      </c>
      <c r="S178" s="97">
        <f t="shared" si="169"/>
        <v>0.11764263410229781</v>
      </c>
      <c r="T178" s="97">
        <f t="shared" si="183"/>
        <v>0.11145878501962136</v>
      </c>
      <c r="U178" s="4">
        <v>920.048775342</v>
      </c>
      <c r="V178" s="4">
        <f t="shared" si="160"/>
        <v>12237.019259195</v>
      </c>
      <c r="W178" s="97">
        <f t="shared" si="188"/>
        <v>8.8719211022255218E-2</v>
      </c>
      <c r="X178" s="97">
        <f t="shared" si="170"/>
        <v>0.2494560662007248</v>
      </c>
      <c r="Y178" s="4">
        <v>886.36866185800011</v>
      </c>
      <c r="Z178" s="4">
        <f t="shared" si="161"/>
        <v>8726.5331408300008</v>
      </c>
      <c r="AA178" s="97">
        <f t="shared" si="189"/>
        <v>0.16742824033636095</v>
      </c>
      <c r="AB178" s="97">
        <f t="shared" si="171"/>
        <v>0.2781974432542107</v>
      </c>
      <c r="AC178" s="4">
        <v>202.561617961</v>
      </c>
      <c r="AD178" s="4">
        <f t="shared" si="136"/>
        <v>9.241438067388337E-2</v>
      </c>
      <c r="AE178" s="4">
        <v>163.69288216300001</v>
      </c>
      <c r="AF178" s="4">
        <f t="shared" si="137"/>
        <v>7.4681356113225697E-2</v>
      </c>
      <c r="AG178" s="4">
        <v>540.77147939299994</v>
      </c>
      <c r="AH178" s="4">
        <f t="shared" si="138"/>
        <v>96.24094751200424</v>
      </c>
      <c r="AI178" s="4">
        <v>276.92707728300002</v>
      </c>
      <c r="AJ178" s="4">
        <f t="shared" si="139"/>
        <v>39.827724032365303</v>
      </c>
      <c r="AK178" s="101">
        <f>SUMIFS($AJ$3:$AJ178,$D$3:$D178,D178)</f>
        <v>321.54679758890126</v>
      </c>
      <c r="AL178" s="4">
        <v>18.095057500000003</v>
      </c>
      <c r="AM178" s="4">
        <f t="shared" si="140"/>
        <v>2.6024358597599062</v>
      </c>
      <c r="AN178" s="101">
        <f>SUMIFS($AM$3:$AM178,$D$3:$D178,D178)</f>
        <v>18.726127333136137</v>
      </c>
      <c r="AO178" s="4">
        <f t="shared" si="153"/>
        <v>245.74934460999992</v>
      </c>
      <c r="AP178" s="56">
        <v>2333.5462508420001</v>
      </c>
      <c r="AQ178" s="4">
        <f t="shared" si="141"/>
        <v>1.0646302775234868</v>
      </c>
      <c r="AR178" s="4">
        <f>SUMIFS($AP$3:$AP178,$D$3:$D178,D178)</f>
        <v>17514.403452388</v>
      </c>
      <c r="AS178" s="4">
        <f t="shared" si="162"/>
        <v>27183.251132477002</v>
      </c>
      <c r="AT178" s="97">
        <f t="shared" si="172"/>
        <v>0.18234843722704341</v>
      </c>
      <c r="AU178" s="97">
        <f t="shared" si="173"/>
        <v>6.2836854422451571E-2</v>
      </c>
      <c r="AV178" s="98">
        <f t="shared" si="184"/>
        <v>5.4052594783051244E-2</v>
      </c>
      <c r="AW178" s="4">
        <v>1070.2568842209998</v>
      </c>
      <c r="AX178" s="4">
        <f>SUMIFS($AW$3:$AW178,$D$3:$D178,D178)</f>
        <v>8450.5966830779998</v>
      </c>
      <c r="AY178" s="4">
        <f t="shared" si="163"/>
        <v>13544.168046643999</v>
      </c>
      <c r="AZ178" s="97">
        <f t="shared" si="174"/>
        <v>5.7276999310254872E-2</v>
      </c>
      <c r="BA178" s="97">
        <f t="shared" si="175"/>
        <v>4.3980629422149642E-2</v>
      </c>
      <c r="BB178" s="97">
        <f t="shared" si="190"/>
        <v>2.1930991444534254E-2</v>
      </c>
      <c r="BC178" s="4">
        <v>725.62785445400004</v>
      </c>
      <c r="BD178" s="4">
        <f t="shared" si="154"/>
        <v>344.62902976699979</v>
      </c>
      <c r="BE178" s="4">
        <v>222.42819129999998</v>
      </c>
      <c r="BF178" s="4">
        <v>197.76888935700001</v>
      </c>
      <c r="BG178" s="4">
        <f t="shared" si="142"/>
        <v>28.443172927609986</v>
      </c>
      <c r="BH178" s="4">
        <f>Datos1[[#This Row],[Intereses]]/Datos1[[#This Row],[PIB nominal (miles de millones de G.)]]*100</f>
        <v>9.022780134984805E-2</v>
      </c>
      <c r="BI178" s="4">
        <v>339.26632138499997</v>
      </c>
      <c r="BJ178" s="4">
        <v>435.58982205699999</v>
      </c>
      <c r="BK178" s="4">
        <v>68.236142521999994</v>
      </c>
      <c r="BL178" s="56">
        <f t="shared" si="192"/>
        <v>374.45028392499989</v>
      </c>
      <c r="BM178" s="56">
        <f>SUMIFS($BL$3:$BL178,$D$3:$D178,D178)</f>
        <v>2131.9882421359989</v>
      </c>
      <c r="BN178" s="56">
        <f t="shared" si="194"/>
        <v>2825.0838926549986</v>
      </c>
      <c r="BO178" s="100">
        <f t="shared" si="176"/>
        <v>-0.36391533593590597</v>
      </c>
      <c r="BP178" s="100">
        <f t="shared" si="177"/>
        <v>0.33689064372332145</v>
      </c>
      <c r="BQ178" s="100">
        <f t="shared" si="185"/>
        <v>0.3900106404457766</v>
      </c>
      <c r="BR178" s="2">
        <f t="shared" si="144"/>
        <v>0.17083488683799522</v>
      </c>
      <c r="BS178" s="2">
        <f>+Datos1[[#This Row],[RON acumulado 12 meses]]/Datos1[[#This Row],[PIB nominal (miles de millones de G.)]]*100</f>
        <v>1.2888837526057961</v>
      </c>
      <c r="BT178" s="56">
        <v>545.35820514000011</v>
      </c>
      <c r="BU178" s="56">
        <f>SUMIFS($BT$3:$BT178,$D$3:$D178,D178)</f>
        <v>3106.2257460239998</v>
      </c>
      <c r="BV178" s="56">
        <f t="shared" si="164"/>
        <v>5096.3597787949993</v>
      </c>
      <c r="BW178" s="100">
        <f t="shared" si="178"/>
        <v>0.30126557105191809</v>
      </c>
      <c r="BX178" s="100">
        <f t="shared" si="179"/>
        <v>0.23623695901603559</v>
      </c>
      <c r="BY178" s="100">
        <f t="shared" si="186"/>
        <v>0.16918182535192661</v>
      </c>
      <c r="BZ178" s="56">
        <f t="shared" si="145"/>
        <v>78.433558416193776</v>
      </c>
      <c r="CA178" s="56">
        <f>Datos1[[#This Row],[Adquisición Neta de Activos no Financieros]]/Datos1[[#This Row],[PIB nominal (miles de millones de G.)]]*100</f>
        <v>0.24880794930823105</v>
      </c>
      <c r="CB178" s="56">
        <f>+Datos1[[#This Row],[ANANF acumulado por año]]/Datos1[[#This Row],[PIB nominal (miles de millones de G.)]]*100</f>
        <v>1.4171486752606215</v>
      </c>
      <c r="CC178" s="56">
        <f>+Datos1[[#This Row],[ANANF acumulado 12 meses]]/Datos1[[#This Row],[PIB nominal (miles de millones de G.)]]*100</f>
        <v>2.3251045157987837</v>
      </c>
      <c r="CD178" s="4">
        <v>300.90259991900001</v>
      </c>
      <c r="CE178" s="4">
        <f t="shared" si="146"/>
        <v>43.275889912159371</v>
      </c>
      <c r="CF178" s="4">
        <f t="shared" si="147"/>
        <v>244.4556052210001</v>
      </c>
      <c r="CG178" s="4">
        <f t="shared" si="148"/>
        <v>35.157668504034405</v>
      </c>
      <c r="CH178" s="56">
        <f t="shared" si="149"/>
        <v>-170.90792121500021</v>
      </c>
      <c r="CI178" s="56">
        <f>SUMIFS($CH$3:$CH178,$D$3:$D178,D178)</f>
        <v>-974.23750388800113</v>
      </c>
      <c r="CJ178" s="56">
        <f t="shared" si="195"/>
        <v>-2271.2758861400016</v>
      </c>
      <c r="CK178" s="56">
        <f>Datos1[[#This Row],[Resultado Fiscal (miles de millones de G.)]]*1000/$F$207</f>
        <v>-24.580021527256122</v>
      </c>
      <c r="CL178" s="56">
        <f t="shared" si="165"/>
        <v>-326.65548664317294</v>
      </c>
      <c r="CM178" s="100">
        <f t="shared" si="180"/>
        <v>-2.0078209570314298</v>
      </c>
      <c r="CN178" s="100">
        <f t="shared" si="181"/>
        <v>6.1365573095673476E-2</v>
      </c>
      <c r="CO178" s="100">
        <f t="shared" si="187"/>
        <v>-2.373377209855021E-2</v>
      </c>
      <c r="CP178" s="4">
        <f t="shared" si="150"/>
        <v>-7.7973062470235832E-2</v>
      </c>
      <c r="CQ178" s="4">
        <f t="shared" si="196"/>
        <v>-1.0362207631929881</v>
      </c>
      <c r="CR178" s="73">
        <v>1150.415750507</v>
      </c>
      <c r="CS178" s="113">
        <f>SUM(Datos1[[#This Row],[FFPP]:[MTESS]])</f>
        <v>0</v>
      </c>
      <c r="CT178" s="113"/>
      <c r="CU178" s="113"/>
      <c r="CV178" s="113"/>
      <c r="CW178" s="113"/>
      <c r="CX178" s="113"/>
      <c r="CY178" s="113"/>
      <c r="CZ178" s="113"/>
    </row>
    <row r="179" spans="1:104">
      <c r="A179">
        <v>177</v>
      </c>
      <c r="B179" s="3">
        <v>42979</v>
      </c>
      <c r="C179" s="14" t="str">
        <f t="shared" si="132"/>
        <v>Septiembre</v>
      </c>
      <c r="D179" s="14">
        <f t="shared" si="151"/>
        <v>2017</v>
      </c>
      <c r="E179" s="15">
        <f t="shared" si="133"/>
        <v>219188.41687183932</v>
      </c>
      <c r="F179" s="15">
        <f t="shared" si="191"/>
        <v>5618.9334516428034</v>
      </c>
      <c r="G179" s="56">
        <v>2767.9576947770001</v>
      </c>
      <c r="H179" s="4">
        <f t="shared" si="152"/>
        <v>1.2628211537270424</v>
      </c>
      <c r="I179" s="4">
        <f>SUMIFS($G$3:$G179,$D$3:$D179,D179)</f>
        <v>22414.349389300998</v>
      </c>
      <c r="J179" s="2">
        <f t="shared" si="159"/>
        <v>30173.067317678</v>
      </c>
      <c r="K179" s="95">
        <f t="shared" si="166"/>
        <v>8.4029477592238777E-2</v>
      </c>
      <c r="L179" s="95">
        <f t="shared" si="167"/>
        <v>6.3280072637898588E-2</v>
      </c>
      <c r="M179" s="95">
        <f t="shared" si="182"/>
        <v>6.7735890515506769E-2</v>
      </c>
      <c r="N179" s="4">
        <v>2079.0193831430001</v>
      </c>
      <c r="O179" s="4">
        <f t="shared" si="135"/>
        <v>0.94850786953701771</v>
      </c>
      <c r="P179" s="4">
        <f>SUMIFS($N$3:$N179,$D$3:$D179,D179)</f>
        <v>16156.996564972002</v>
      </c>
      <c r="Q179" s="4">
        <f t="shared" si="193"/>
        <v>21192.078214633002</v>
      </c>
      <c r="R179" s="97">
        <f t="shared" si="168"/>
        <v>0.12664833722871482</v>
      </c>
      <c r="S179" s="97">
        <f t="shared" si="169"/>
        <v>0.11879337364630582</v>
      </c>
      <c r="T179" s="97">
        <f t="shared" si="183"/>
        <v>0.11400859430507682</v>
      </c>
      <c r="U179" s="4">
        <v>1288.163818498</v>
      </c>
      <c r="V179" s="4">
        <f t="shared" si="160"/>
        <v>12373.613045789001</v>
      </c>
      <c r="W179" s="97">
        <f t="shared" si="188"/>
        <v>8.439611831627114E-2</v>
      </c>
      <c r="X179" s="97">
        <f t="shared" si="170"/>
        <v>0.11861526681808199</v>
      </c>
      <c r="Y179" s="4">
        <v>841.63752655899987</v>
      </c>
      <c r="Z179" s="4">
        <f t="shared" si="161"/>
        <v>8843.269814522002</v>
      </c>
      <c r="AA179" s="97">
        <f t="shared" si="189"/>
        <v>0.17381779783910956</v>
      </c>
      <c r="AB179" s="97">
        <f t="shared" si="171"/>
        <v>0.16103812435908127</v>
      </c>
      <c r="AC179" s="4">
        <v>161.49847069399999</v>
      </c>
      <c r="AD179" s="4">
        <f t="shared" si="136"/>
        <v>7.3680203086839688E-2</v>
      </c>
      <c r="AE179" s="4">
        <v>73.344774021000006</v>
      </c>
      <c r="AF179" s="4">
        <f t="shared" si="137"/>
        <v>3.3461975348763572E-2</v>
      </c>
      <c r="AG179" s="4">
        <v>454.09506691899998</v>
      </c>
      <c r="AH179" s="4">
        <f t="shared" si="138"/>
        <v>80.81517085528688</v>
      </c>
      <c r="AI179" s="4">
        <v>277.74859956800003</v>
      </c>
      <c r="AJ179" s="4">
        <f t="shared" si="139"/>
        <v>39.945875580326721</v>
      </c>
      <c r="AK179" s="101">
        <f>SUMIFS($AJ$3:$AJ179,$D$3:$D179,D179)</f>
        <v>361.492673169228</v>
      </c>
      <c r="AL179" s="4">
        <v>43.691449599999999</v>
      </c>
      <c r="AM179" s="4">
        <f t="shared" si="140"/>
        <v>6.2837156059842636</v>
      </c>
      <c r="AN179" s="101">
        <f>SUMIFS($AM$3:$AM179,$D$3:$D179,D179)</f>
        <v>25.0098429391204</v>
      </c>
      <c r="AO179" s="4">
        <f t="shared" si="153"/>
        <v>132.65501775099995</v>
      </c>
      <c r="AP179" s="56">
        <v>2118.9782032299995</v>
      </c>
      <c r="AQ179" s="4">
        <f t="shared" si="141"/>
        <v>0.96673822160455569</v>
      </c>
      <c r="AR179" s="4">
        <f>SUMIFS($AP$3:$AP179,$D$3:$D179,D179)</f>
        <v>19633.381655617999</v>
      </c>
      <c r="AS179" s="4">
        <f t="shared" si="162"/>
        <v>27171.350464922001</v>
      </c>
      <c r="AT179" s="97">
        <f t="shared" si="172"/>
        <v>-5.5848634655691898E-3</v>
      </c>
      <c r="AU179" s="97">
        <f t="shared" si="173"/>
        <v>5.5002358504888882E-2</v>
      </c>
      <c r="AV179" s="98">
        <f t="shared" si="184"/>
        <v>4.9204364630973219E-2</v>
      </c>
      <c r="AW179" s="4">
        <v>1066.2066960089999</v>
      </c>
      <c r="AX179" s="4">
        <f>SUMIFS($AW$3:$AW179,$D$3:$D179,D179)</f>
        <v>9516.8033790869995</v>
      </c>
      <c r="AY179" s="4">
        <f t="shared" si="163"/>
        <v>13593.239659522998</v>
      </c>
      <c r="AZ179" s="97">
        <f t="shared" si="174"/>
        <v>4.8244931959276149E-2</v>
      </c>
      <c r="BA179" s="97">
        <f t="shared" si="175"/>
        <v>4.4456650261559094E-2</v>
      </c>
      <c r="BB179" s="97">
        <f t="shared" si="190"/>
        <v>2.8612343710527899E-2</v>
      </c>
      <c r="BC179" s="4">
        <v>717.535759794</v>
      </c>
      <c r="BD179" s="4">
        <f t="shared" si="154"/>
        <v>348.67093621499987</v>
      </c>
      <c r="BE179" s="4">
        <v>210.57879942899999</v>
      </c>
      <c r="BF179" s="4">
        <v>117.17878573299998</v>
      </c>
      <c r="BG179" s="4">
        <f t="shared" si="142"/>
        <v>16.852683336025962</v>
      </c>
      <c r="BH179" s="4">
        <f>Datos1[[#This Row],[Intereses]]/Datos1[[#This Row],[PIB nominal (miles de millones de G.)]]*100</f>
        <v>5.3460300231793295E-2</v>
      </c>
      <c r="BI179" s="4">
        <v>350.98896285000001</v>
      </c>
      <c r="BJ179" s="4">
        <v>341.82164018000003</v>
      </c>
      <c r="BK179" s="4">
        <v>32.203319028999992</v>
      </c>
      <c r="BL179" s="56">
        <f t="shared" si="192"/>
        <v>648.97949154700063</v>
      </c>
      <c r="BM179" s="56">
        <f>SUMIFS($BL$3:$BL179,$D$3:$D179,D179)</f>
        <v>2780.9677336829996</v>
      </c>
      <c r="BN179" s="56">
        <f t="shared" si="194"/>
        <v>3001.7168527559993</v>
      </c>
      <c r="BO179" s="100">
        <f t="shared" si="176"/>
        <v>0.37394782927752668</v>
      </c>
      <c r="BP179" s="100">
        <f t="shared" si="177"/>
        <v>0.34535853456285581</v>
      </c>
      <c r="BQ179" s="100">
        <f t="shared" si="185"/>
        <v>0.27093173206363952</v>
      </c>
      <c r="BR179" s="2">
        <f t="shared" si="144"/>
        <v>0.29608293212248643</v>
      </c>
      <c r="BS179" s="2">
        <f>+Datos1[[#This Row],[RON acumulado 12 meses]]/Datos1[[#This Row],[PIB nominal (miles de millones de G.)]]*100</f>
        <v>1.3694687409103008</v>
      </c>
      <c r="BT179" s="56">
        <v>431.28850184600003</v>
      </c>
      <c r="BU179" s="56">
        <f>SUMIFS($BT$3:$BT179,$D$3:$D179,D179)</f>
        <v>3537.51424787</v>
      </c>
      <c r="BV179" s="56">
        <f t="shared" si="164"/>
        <v>5162.4349163509996</v>
      </c>
      <c r="BW179" s="100">
        <f t="shared" si="178"/>
        <v>0.18092201440780964</v>
      </c>
      <c r="BX179" s="100">
        <f t="shared" si="179"/>
        <v>0.22921724225792417</v>
      </c>
      <c r="BY179" s="100">
        <f t="shared" si="186"/>
        <v>0.18935654542936842</v>
      </c>
      <c r="BZ179" s="56">
        <f t="shared" si="145"/>
        <v>62.028024122396786</v>
      </c>
      <c r="CA179" s="56">
        <f>Datos1[[#This Row],[Adquisición Neta de Activos no Financieros]]/Datos1[[#This Row],[PIB nominal (miles de millones de G.)]]*100</f>
        <v>0.19676610105641523</v>
      </c>
      <c r="CB179" s="56">
        <f>+Datos1[[#This Row],[ANANF acumulado por año]]/Datos1[[#This Row],[PIB nominal (miles de millones de G.)]]*100</f>
        <v>1.6139147763170369</v>
      </c>
      <c r="CC179" s="56">
        <f>+Datos1[[#This Row],[ANANF acumulado 12 meses]]/Datos1[[#This Row],[PIB nominal (miles de millones de G.)]]*100</f>
        <v>2.3552498758953599</v>
      </c>
      <c r="CD179" s="4">
        <v>301.42940042599997</v>
      </c>
      <c r="CE179" s="4">
        <f t="shared" si="146"/>
        <v>43.351654497619037</v>
      </c>
      <c r="CF179" s="4">
        <f t="shared" si="147"/>
        <v>129.85910142000006</v>
      </c>
      <c r="CG179" s="4">
        <f t="shared" si="148"/>
        <v>18.676369624777742</v>
      </c>
      <c r="CH179" s="56">
        <f t="shared" si="149"/>
        <v>217.6909897010006</v>
      </c>
      <c r="CI179" s="56">
        <f>SUMIFS($CH$3:$CH179,$D$3:$D179,D179)</f>
        <v>-756.54651418700053</v>
      </c>
      <c r="CJ179" s="56">
        <f t="shared" si="195"/>
        <v>-2160.7180635950012</v>
      </c>
      <c r="CK179" s="56">
        <f>Datos1[[#This Row],[Resultado Fiscal (miles de millones de G.)]]*1000/$F$207</f>
        <v>31.308374562750537</v>
      </c>
      <c r="CL179" s="56">
        <f t="shared" si="165"/>
        <v>-310.75503194895151</v>
      </c>
      <c r="CM179" s="100">
        <f t="shared" si="180"/>
        <v>1.0319663413293285</v>
      </c>
      <c r="CN179" s="100">
        <f t="shared" si="181"/>
        <v>-6.6886245316468917E-2</v>
      </c>
      <c r="CO179" s="100">
        <f t="shared" si="187"/>
        <v>9.198662957719872E-2</v>
      </c>
      <c r="CP179" s="4">
        <f t="shared" si="150"/>
        <v>9.9316831066071226E-2</v>
      </c>
      <c r="CQ179" s="4">
        <f t="shared" si="196"/>
        <v>-0.98578113498505937</v>
      </c>
      <c r="CR179" s="73">
        <v>1147.525875542</v>
      </c>
      <c r="CS179" s="113">
        <f>SUM(Datos1[[#This Row],[FFPP]:[MTESS]])</f>
        <v>0</v>
      </c>
      <c r="CT179" s="113"/>
      <c r="CU179" s="113"/>
      <c r="CV179" s="113"/>
      <c r="CW179" s="113"/>
      <c r="CX179" s="113"/>
      <c r="CY179" s="113"/>
      <c r="CZ179" s="113"/>
    </row>
    <row r="180" spans="1:104">
      <c r="A180">
        <v>178</v>
      </c>
      <c r="B180" s="3">
        <v>43009</v>
      </c>
      <c r="C180" s="14" t="str">
        <f t="shared" si="132"/>
        <v>Octubre</v>
      </c>
      <c r="D180" s="14">
        <f t="shared" si="151"/>
        <v>2017</v>
      </c>
      <c r="E180" s="15">
        <f t="shared" si="133"/>
        <v>219188.41687183932</v>
      </c>
      <c r="F180" s="15">
        <f t="shared" si="191"/>
        <v>5618.9334516428034</v>
      </c>
      <c r="G180" s="56">
        <v>2479.5354445960002</v>
      </c>
      <c r="H180" s="4">
        <f t="shared" si="152"/>
        <v>1.1312347066431883</v>
      </c>
      <c r="I180" s="4">
        <f>SUMIFS($G$3:$G180,$D$3:$D180,D180)</f>
        <v>24893.884833896998</v>
      </c>
      <c r="J180" s="2">
        <f t="shared" si="159"/>
        <v>30519.076623975998</v>
      </c>
      <c r="K180" s="95">
        <f t="shared" si="166"/>
        <v>9.1338869858611726E-2</v>
      </c>
      <c r="L180" s="95">
        <f t="shared" si="167"/>
        <v>0.16217720518485201</v>
      </c>
      <c r="M180" s="95">
        <f t="shared" si="182"/>
        <v>8.0426946934572641E-2</v>
      </c>
      <c r="N180" s="4">
        <v>1781.0159855190004</v>
      </c>
      <c r="O180" s="4">
        <f t="shared" si="135"/>
        <v>0.81255023004266247</v>
      </c>
      <c r="P180" s="4">
        <f>SUMIFS($N$3:$N180,$D$3:$D180,D180)</f>
        <v>17938.012550491003</v>
      </c>
      <c r="Q180" s="4">
        <f t="shared" si="193"/>
        <v>21484.845246849</v>
      </c>
      <c r="R180" s="97">
        <f t="shared" si="168"/>
        <v>0.1967191252285021</v>
      </c>
      <c r="S180" s="97">
        <f t="shared" si="169"/>
        <v>0.12607367012822634</v>
      </c>
      <c r="T180" s="97">
        <f t="shared" si="183"/>
        <v>0.12985417717926961</v>
      </c>
      <c r="U180" s="4">
        <v>922.87388649100012</v>
      </c>
      <c r="V180" s="4">
        <f t="shared" si="160"/>
        <v>12453.832091937002</v>
      </c>
      <c r="W180" s="97">
        <f t="shared" si="188"/>
        <v>8.908342245199008E-2</v>
      </c>
      <c r="X180" s="97">
        <f t="shared" si="170"/>
        <v>9.5197988912455678E-2</v>
      </c>
      <c r="Y180" s="4">
        <v>855.27114460299993</v>
      </c>
      <c r="Z180" s="4">
        <f t="shared" si="161"/>
        <v>9019.1156891280007</v>
      </c>
      <c r="AA180" s="97">
        <f t="shared" si="189"/>
        <v>0.19790978828432748</v>
      </c>
      <c r="AB180" s="97">
        <f t="shared" si="171"/>
        <v>0.25881562310270945</v>
      </c>
      <c r="AC180" s="4">
        <v>133.167586957</v>
      </c>
      <c r="AD180" s="4">
        <f t="shared" si="136"/>
        <v>6.0754846837943917E-2</v>
      </c>
      <c r="AE180" s="4">
        <v>160.04805085000004</v>
      </c>
      <c r="AF180" s="4">
        <f t="shared" si="137"/>
        <v>7.3018480234555927E-2</v>
      </c>
      <c r="AG180" s="4">
        <v>405.30382127000007</v>
      </c>
      <c r="AH180" s="4">
        <f t="shared" si="138"/>
        <v>72.131806642326708</v>
      </c>
      <c r="AI180" s="4">
        <v>269.66973308199999</v>
      </c>
      <c r="AJ180" s="4">
        <f t="shared" si="139"/>
        <v>38.7839709083256</v>
      </c>
      <c r="AK180" s="101">
        <f>SUMIFS($AJ$3:$AJ180,$D$3:$D180,D180)</f>
        <v>400.27664407755361</v>
      </c>
      <c r="AL180" s="4">
        <v>0</v>
      </c>
      <c r="AM180" s="4">
        <f t="shared" si="140"/>
        <v>0</v>
      </c>
      <c r="AN180" s="101">
        <f>SUMIFS($AM$3:$AM180,$D$3:$D180,D180)</f>
        <v>25.0098429391204</v>
      </c>
      <c r="AO180" s="4">
        <f t="shared" si="153"/>
        <v>135.63408818800008</v>
      </c>
      <c r="AP180" s="56">
        <v>2418.2119088379995</v>
      </c>
      <c r="AQ180" s="4">
        <f t="shared" si="141"/>
        <v>1.1032571626501328</v>
      </c>
      <c r="AR180" s="4">
        <f>SUMIFS($AP$3:$AP180,$D$3:$D180,D180)</f>
        <v>22051.593564455998</v>
      </c>
      <c r="AS180" s="4">
        <f t="shared" si="162"/>
        <v>27474.598504594</v>
      </c>
      <c r="AT180" s="97">
        <f t="shared" si="172"/>
        <v>0.1433821372048214</v>
      </c>
      <c r="AU180" s="97">
        <f t="shared" si="173"/>
        <v>6.4021522750092208E-2</v>
      </c>
      <c r="AV180" s="98">
        <f t="shared" si="184"/>
        <v>5.3646615339927761E-2</v>
      </c>
      <c r="AW180" s="4">
        <v>1083.2368975149998</v>
      </c>
      <c r="AX180" s="4">
        <f>SUMIFS($AW$3:$AW180,$D$3:$D180,D180)</f>
        <v>10600.040276602</v>
      </c>
      <c r="AY180" s="4">
        <f t="shared" si="163"/>
        <v>13654.059300831999</v>
      </c>
      <c r="AZ180" s="97">
        <f t="shared" si="174"/>
        <v>5.9486125590925365E-2</v>
      </c>
      <c r="BA180" s="97">
        <f t="shared" si="175"/>
        <v>4.5972949540403318E-2</v>
      </c>
      <c r="BB180" s="97">
        <f t="shared" si="190"/>
        <v>3.4232634253834382E-2</v>
      </c>
      <c r="BC180" s="4">
        <v>764.75614705400005</v>
      </c>
      <c r="BD180" s="4">
        <f t="shared" si="154"/>
        <v>318.48075046099973</v>
      </c>
      <c r="BE180" s="4">
        <v>236.519849411</v>
      </c>
      <c r="BF180" s="4">
        <v>124.43561802500001</v>
      </c>
      <c r="BG180" s="4">
        <f t="shared" si="142"/>
        <v>17.8963628371806</v>
      </c>
      <c r="BH180" s="4">
        <f>Datos1[[#This Row],[Intereses]]/Datos1[[#This Row],[PIB nominal (miles de millones de G.)]]*100</f>
        <v>5.6771073855494021E-2</v>
      </c>
      <c r="BI180" s="4">
        <v>371.66067991400001</v>
      </c>
      <c r="BJ180" s="4">
        <v>405.65988953800002</v>
      </c>
      <c r="BK180" s="4">
        <v>196.69897443500003</v>
      </c>
      <c r="BL180" s="56">
        <f t="shared" si="192"/>
        <v>61.323535758000617</v>
      </c>
      <c r="BM180" s="56">
        <f>SUMIFS($BL$3:$BL180,$D$3:$D180,D180)</f>
        <v>2842.2912694410002</v>
      </c>
      <c r="BN180" s="56">
        <f t="shared" si="194"/>
        <v>3044.4781193819999</v>
      </c>
      <c r="BO180" s="100">
        <f t="shared" si="176"/>
        <v>2.3036659107739883</v>
      </c>
      <c r="BP180" s="100">
        <f t="shared" si="177"/>
        <v>0.36278749498274787</v>
      </c>
      <c r="BQ180" s="100">
        <f t="shared" si="185"/>
        <v>0.40200752918095595</v>
      </c>
      <c r="BR180" s="2">
        <f t="shared" si="144"/>
        <v>2.7977543993055451E-2</v>
      </c>
      <c r="BS180" s="2">
        <f>+Datos1[[#This Row],[RON acumulado 12 meses]]/Datos1[[#This Row],[PIB nominal (miles de millones de G.)]]*100</f>
        <v>1.3889776489248167</v>
      </c>
      <c r="BT180" s="56">
        <v>471.32988618500008</v>
      </c>
      <c r="BU180" s="56">
        <f>SUMIFS($BT$3:$BT180,$D$3:$D180,D180)</f>
        <v>4008.8441340549998</v>
      </c>
      <c r="BV180" s="56">
        <f t="shared" si="164"/>
        <v>5068.3126384990001</v>
      </c>
      <c r="BW180" s="100">
        <f t="shared" si="178"/>
        <v>-0.16645489015378689</v>
      </c>
      <c r="BX180" s="100">
        <f t="shared" si="179"/>
        <v>0.16424093466791589</v>
      </c>
      <c r="BY180" s="100">
        <f t="shared" si="186"/>
        <v>0.13102115096882638</v>
      </c>
      <c r="BZ180" s="56">
        <f t="shared" si="145"/>
        <v>67.786786396473133</v>
      </c>
      <c r="CA180" s="56">
        <f>Datos1[[#This Row],[Adquisición Neta de Activos no Financieros]]/Datos1[[#This Row],[PIB nominal (miles de millones de G.)]]*100</f>
        <v>0.21503412128780022</v>
      </c>
      <c r="CB180" s="56">
        <f>+Datos1[[#This Row],[ANANF acumulado por año]]/Datos1[[#This Row],[PIB nominal (miles de millones de G.)]]*100</f>
        <v>1.8289488976048369</v>
      </c>
      <c r="CC180" s="56">
        <f>+Datos1[[#This Row],[ANANF acumulado 12 meses]]/Datos1[[#This Row],[PIB nominal (miles de millones de G.)]]*100</f>
        <v>2.3123086113909341</v>
      </c>
      <c r="CD180" s="4">
        <v>323.46487594000007</v>
      </c>
      <c r="CE180" s="4">
        <f t="shared" si="146"/>
        <v>46.520802297480699</v>
      </c>
      <c r="CF180" s="4">
        <f t="shared" si="147"/>
        <v>147.86501024500001</v>
      </c>
      <c r="CG180" s="4">
        <f t="shared" si="148"/>
        <v>21.26598409899244</v>
      </c>
      <c r="CH180" s="56">
        <f t="shared" si="149"/>
        <v>-410.00635042699946</v>
      </c>
      <c r="CI180" s="56">
        <f>SUMIFS($CH$3:$CH180,$D$3:$D180,D180)</f>
        <v>-1166.5528646140001</v>
      </c>
      <c r="CJ180" s="56">
        <f t="shared" si="195"/>
        <v>-2023.8345191170004</v>
      </c>
      <c r="CK180" s="56">
        <f>Datos1[[#This Row],[Resultado Fiscal (miles de millones de G.)]]*1000/$F$207</f>
        <v>-58.967219589134189</v>
      </c>
      <c r="CL180" s="56">
        <f t="shared" si="165"/>
        <v>-291.06840510288652</v>
      </c>
      <c r="CM180" s="100">
        <f t="shared" si="180"/>
        <v>-0.25029452135292884</v>
      </c>
      <c r="CN180" s="100">
        <f t="shared" si="181"/>
        <v>-0.14076606455710827</v>
      </c>
      <c r="CO180" s="100">
        <f t="shared" si="187"/>
        <v>-0.12375579685905047</v>
      </c>
      <c r="CP180" s="4">
        <f t="shared" si="150"/>
        <v>-0.18705657729474476</v>
      </c>
      <c r="CQ180" s="4">
        <f t="shared" si="196"/>
        <v>-0.92333096246611768</v>
      </c>
      <c r="CR180" s="73">
        <v>1157.2449511120001</v>
      </c>
      <c r="CS180" s="113">
        <f>SUM(Datos1[[#This Row],[FFPP]:[MTESS]])</f>
        <v>0</v>
      </c>
      <c r="CT180" s="113"/>
      <c r="CU180" s="113"/>
      <c r="CV180" s="113"/>
      <c r="CW180" s="113"/>
      <c r="CX180" s="113"/>
      <c r="CY180" s="113"/>
      <c r="CZ180" s="113"/>
    </row>
    <row r="181" spans="1:104">
      <c r="A181">
        <v>179</v>
      </c>
      <c r="B181" s="3">
        <v>43040</v>
      </c>
      <c r="C181" s="14" t="str">
        <f t="shared" si="132"/>
        <v>Noviembre</v>
      </c>
      <c r="D181" s="14">
        <f t="shared" si="151"/>
        <v>2017</v>
      </c>
      <c r="E181" s="15">
        <f t="shared" si="133"/>
        <v>219188.41687183932</v>
      </c>
      <c r="F181" s="15">
        <f t="shared" si="191"/>
        <v>5618.9334516428034</v>
      </c>
      <c r="G181" s="56">
        <v>2803.2314082930002</v>
      </c>
      <c r="H181" s="4">
        <f t="shared" si="152"/>
        <v>1.2789140267079282</v>
      </c>
      <c r="I181" s="4">
        <f>SUMIFS($G$3:$G181,$D$3:$D181,D181)</f>
        <v>27697.116242189997</v>
      </c>
      <c r="J181" s="2">
        <f t="shared" si="159"/>
        <v>30596.968314367001</v>
      </c>
      <c r="K181" s="95">
        <f t="shared" si="166"/>
        <v>8.4640896427684353E-2</v>
      </c>
      <c r="L181" s="95">
        <f t="shared" si="167"/>
        <v>2.8580543511457002E-2</v>
      </c>
      <c r="M181" s="95">
        <f t="shared" si="182"/>
        <v>6.7131999414047572E-2</v>
      </c>
      <c r="N181" s="4">
        <v>2053.4077942439999</v>
      </c>
      <c r="O181" s="4">
        <f t="shared" si="135"/>
        <v>0.93682313306028342</v>
      </c>
      <c r="P181" s="4">
        <f>SUMIFS($N$3:$N181,$D$3:$D181,D181)</f>
        <v>19991.420344735001</v>
      </c>
      <c r="Q181" s="4">
        <f t="shared" si="193"/>
        <v>21740.978049910998</v>
      </c>
      <c r="R181" s="97">
        <f t="shared" si="168"/>
        <v>0.14251174935314226</v>
      </c>
      <c r="S181" s="97">
        <f t="shared" si="169"/>
        <v>0.1277402688250544</v>
      </c>
      <c r="T181" s="97">
        <f t="shared" si="183"/>
        <v>0.13205098003473226</v>
      </c>
      <c r="U181" s="4">
        <v>1170.9215034080003</v>
      </c>
      <c r="V181" s="4">
        <f t="shared" si="160"/>
        <v>12528.799278339</v>
      </c>
      <c r="W181" s="97">
        <f t="shared" si="188"/>
        <v>8.252002815131676E-2</v>
      </c>
      <c r="X181" s="97">
        <f t="shared" si="170"/>
        <v>6.8403568687790406E-2</v>
      </c>
      <c r="Y181" s="4">
        <v>857.85224616700009</v>
      </c>
      <c r="Z181" s="4">
        <f t="shared" si="161"/>
        <v>9138.2496349550001</v>
      </c>
      <c r="AA181" s="97">
        <f t="shared" si="189"/>
        <v>0.20030680090932185</v>
      </c>
      <c r="AB181" s="97">
        <f t="shared" si="171"/>
        <v>0.16127114459215086</v>
      </c>
      <c r="AC181" s="4">
        <v>182.314803729</v>
      </c>
      <c r="AD181" s="4">
        <f t="shared" si="136"/>
        <v>8.3177207231530159E-2</v>
      </c>
      <c r="AE181" s="4">
        <v>139.61955922799999</v>
      </c>
      <c r="AF181" s="4">
        <f t="shared" si="137"/>
        <v>6.3698420391272922E-2</v>
      </c>
      <c r="AG181" s="4">
        <v>427.88925109199999</v>
      </c>
      <c r="AH181" s="4">
        <f t="shared" si="138"/>
        <v>76.151329211222162</v>
      </c>
      <c r="AI181" s="4">
        <v>266.38930001800003</v>
      </c>
      <c r="AJ181" s="4">
        <f t="shared" si="139"/>
        <v>38.312178174796259</v>
      </c>
      <c r="AK181" s="101">
        <f>SUMIFS($AJ$3:$AJ181,$D$3:$D181,D181)</f>
        <v>438.58882225234987</v>
      </c>
      <c r="AL181" s="4">
        <v>21.487594000000001</v>
      </c>
      <c r="AM181" s="4">
        <f t="shared" si="140"/>
        <v>3.0903513385111818</v>
      </c>
      <c r="AN181" s="101">
        <f>SUMIFS($AM$3:$AM181,$D$3:$D181,D181)</f>
        <v>28.10019427763158</v>
      </c>
      <c r="AO181" s="4">
        <f t="shared" si="153"/>
        <v>140.01235707399996</v>
      </c>
      <c r="AP181" s="56">
        <v>2275.844721899</v>
      </c>
      <c r="AQ181" s="4">
        <f t="shared" si="141"/>
        <v>1.0383051962228911</v>
      </c>
      <c r="AR181" s="4">
        <f>SUMIFS($AP$3:$AP181,$D$3:$D181,D181)</f>
        <v>24327.438286354998</v>
      </c>
      <c r="AS181" s="4">
        <f t="shared" si="162"/>
        <v>27767.746182579998</v>
      </c>
      <c r="AT181" s="97">
        <f t="shared" si="172"/>
        <v>0.14785298585377982</v>
      </c>
      <c r="AU181" s="97">
        <f t="shared" si="173"/>
        <v>7.1341249217624192E-2</v>
      </c>
      <c r="AV181" s="98">
        <f t="shared" si="184"/>
        <v>6.174740211032792E-2</v>
      </c>
      <c r="AW181" s="4">
        <v>1135.3721096100001</v>
      </c>
      <c r="AX181" s="4">
        <f>SUMIFS($AW$3:$AW181,$D$3:$D181,D181)</f>
        <v>11735.412386212</v>
      </c>
      <c r="AY181" s="4">
        <f t="shared" si="163"/>
        <v>13765.879584728998</v>
      </c>
      <c r="AZ181" s="97">
        <f t="shared" si="174"/>
        <v>0.10924731028554069</v>
      </c>
      <c r="BA181" s="97">
        <f t="shared" si="175"/>
        <v>5.1777426527544801E-2</v>
      </c>
      <c r="BB181" s="97">
        <f t="shared" si="190"/>
        <v>4.4802935640948283E-2</v>
      </c>
      <c r="BC181" s="4">
        <v>784.969188132</v>
      </c>
      <c r="BD181" s="4">
        <f t="shared" si="154"/>
        <v>350.40292147800005</v>
      </c>
      <c r="BE181" s="4">
        <v>251.48015103200004</v>
      </c>
      <c r="BF181" s="4">
        <v>71.918462309000006</v>
      </c>
      <c r="BG181" s="4">
        <f t="shared" si="142"/>
        <v>10.343331890033111</v>
      </c>
      <c r="BH181" s="4">
        <f>Datos1[[#This Row],[Intereses]]/Datos1[[#This Row],[PIB nominal (miles de millones de G.)]]*100</f>
        <v>3.2811251313088832E-2</v>
      </c>
      <c r="BI181" s="4">
        <v>392.88282687100002</v>
      </c>
      <c r="BJ181" s="4">
        <v>373.81618688200001</v>
      </c>
      <c r="BK181" s="4">
        <v>50.374985195000001</v>
      </c>
      <c r="BL181" s="56">
        <f t="shared" si="192"/>
        <v>527.38668639400021</v>
      </c>
      <c r="BM181" s="56">
        <f>SUMIFS($BL$3:$BL181,$D$3:$D181,D181)</f>
        <v>3369.6779558350004</v>
      </c>
      <c r="BN181" s="56">
        <f t="shared" si="194"/>
        <v>2829.2221317870008</v>
      </c>
      <c r="BO181" s="100">
        <f t="shared" si="176"/>
        <v>-0.28985135804111883</v>
      </c>
      <c r="BP181" s="100">
        <f t="shared" si="177"/>
        <v>0.19141970092838667</v>
      </c>
      <c r="BQ181" s="100">
        <f t="shared" si="185"/>
        <v>0.12303009354028149</v>
      </c>
      <c r="BR181" s="2">
        <f t="shared" si="144"/>
        <v>0.24060883048503703</v>
      </c>
      <c r="BS181" s="2">
        <f>+Datos1[[#This Row],[RON acumulado 12 meses]]/Datos1[[#This Row],[PIB nominal (miles de millones de G.)]]*100</f>
        <v>1.2907717351876595</v>
      </c>
      <c r="BT181" s="56">
        <v>513.36542878599982</v>
      </c>
      <c r="BU181" s="56">
        <f>SUMIFS($BT$3:$BT181,$D$3:$D181,D181)</f>
        <v>4522.2095628409998</v>
      </c>
      <c r="BV181" s="56">
        <f t="shared" si="164"/>
        <v>5172.2103541070001</v>
      </c>
      <c r="BW181" s="100">
        <f t="shared" si="178"/>
        <v>0.2537384811164205</v>
      </c>
      <c r="BX181" s="100">
        <f t="shared" si="179"/>
        <v>0.17375260252717939</v>
      </c>
      <c r="BY181" s="100">
        <f t="shared" si="186"/>
        <v>0.14597517513519009</v>
      </c>
      <c r="BZ181" s="56">
        <f t="shared" si="145"/>
        <v>73.832349028661895</v>
      </c>
      <c r="CA181" s="56">
        <f>Datos1[[#This Row],[Adquisición Neta de Activos no Financieros]]/Datos1[[#This Row],[PIB nominal (miles de millones de G.)]]*100</f>
        <v>0.2342119333277394</v>
      </c>
      <c r="CB181" s="56">
        <f>+Datos1[[#This Row],[ANANF acumulado por año]]/Datos1[[#This Row],[PIB nominal (miles de millones de G.)]]*100</f>
        <v>2.0631608309325764</v>
      </c>
      <c r="CC181" s="56">
        <f>+Datos1[[#This Row],[ANANF acumulado 12 meses]]/Datos1[[#This Row],[PIB nominal (miles de millones de G.)]]*100</f>
        <v>2.3597097090815797</v>
      </c>
      <c r="CD181" s="4">
        <v>271.94965627400001</v>
      </c>
      <c r="CE181" s="4">
        <f t="shared" si="146"/>
        <v>39.11187005273888</v>
      </c>
      <c r="CF181" s="4">
        <f t="shared" si="147"/>
        <v>241.41577251199982</v>
      </c>
      <c r="CG181" s="4">
        <f t="shared" si="148"/>
        <v>34.720478975923015</v>
      </c>
      <c r="CH181" s="56">
        <f t="shared" si="149"/>
        <v>14.021257608000383</v>
      </c>
      <c r="CI181" s="56">
        <f>SUMIFS($CH$3:$CH181,$D$3:$D181,D181)</f>
        <v>-1152.5316070059998</v>
      </c>
      <c r="CJ181" s="56">
        <f t="shared" si="195"/>
        <v>-2342.9882223200002</v>
      </c>
      <c r="CK181" s="56">
        <f>Datos1[[#This Row],[Resultado Fiscal (miles de millones de G.)]]*1000/$F$207</f>
        <v>2.0165409033926305</v>
      </c>
      <c r="CL181" s="56">
        <f t="shared" si="165"/>
        <v>-336.96917341990655</v>
      </c>
      <c r="CM181" s="100">
        <f t="shared" si="180"/>
        <v>-0.95791623243874491</v>
      </c>
      <c r="CN181" s="100">
        <f t="shared" si="181"/>
        <v>0.12497947532089748</v>
      </c>
      <c r="CO181" s="100">
        <f t="shared" si="187"/>
        <v>0.17496325427306125</v>
      </c>
      <c r="CP181" s="4">
        <f t="shared" si="150"/>
        <v>6.3968971572976362E-3</v>
      </c>
      <c r="CQ181" s="4">
        <f t="shared" si="196"/>
        <v>-1.0689379738939209</v>
      </c>
      <c r="CR181" s="73">
        <v>1211.196717587</v>
      </c>
      <c r="CS181" s="113">
        <f>SUM(Datos1[[#This Row],[FFPP]:[MTESS]])</f>
        <v>0</v>
      </c>
      <c r="CT181" s="113"/>
      <c r="CU181" s="113"/>
      <c r="CV181" s="113"/>
      <c r="CW181" s="113"/>
      <c r="CX181" s="113"/>
      <c r="CY181" s="113"/>
      <c r="CZ181" s="113"/>
    </row>
    <row r="182" spans="1:104">
      <c r="A182">
        <v>180</v>
      </c>
      <c r="B182" s="3">
        <v>43070</v>
      </c>
      <c r="C182" s="14" t="str">
        <f t="shared" si="132"/>
        <v>Diciembre</v>
      </c>
      <c r="D182" s="14">
        <f t="shared" si="151"/>
        <v>2017</v>
      </c>
      <c r="E182" s="15">
        <f t="shared" si="133"/>
        <v>219188.41687183932</v>
      </c>
      <c r="F182" s="15">
        <f t="shared" si="191"/>
        <v>5618.9334516428034</v>
      </c>
      <c r="G182" s="56">
        <v>3398.1417386799999</v>
      </c>
      <c r="H182" s="4">
        <f t="shared" si="152"/>
        <v>1.5503290671910424</v>
      </c>
      <c r="I182" s="4">
        <f>SUMIFS($G$3:$G182,$D$3:$D182,D182)</f>
        <v>31095.257980869996</v>
      </c>
      <c r="J182" s="2">
        <f t="shared" si="159"/>
        <v>31095.257980869996</v>
      </c>
      <c r="K182" s="95">
        <f t="shared" si="166"/>
        <v>9.3532693678717305E-2</v>
      </c>
      <c r="L182" s="95">
        <f t="shared" si="167"/>
        <v>0.17183278805284696</v>
      </c>
      <c r="M182" s="95">
        <f t="shared" si="182"/>
        <v>9.3532693678717305E-2</v>
      </c>
      <c r="N182" s="4">
        <v>1738.8577076250001</v>
      </c>
      <c r="O182" s="4">
        <f t="shared" si="135"/>
        <v>0.79331642266558278</v>
      </c>
      <c r="P182" s="4">
        <f>SUMIFS($N$3:$N182,$D$3:$D182,D182)</f>
        <v>21730.278052360001</v>
      </c>
      <c r="Q182" s="4">
        <f t="shared" si="193"/>
        <v>21730.278052360001</v>
      </c>
      <c r="R182" s="97">
        <f t="shared" si="168"/>
        <v>-6.1158300291236367E-3</v>
      </c>
      <c r="S182" s="97">
        <f t="shared" si="169"/>
        <v>0.11571610585538838</v>
      </c>
      <c r="T182" s="97">
        <f t="shared" si="183"/>
        <v>0.11571610585538838</v>
      </c>
      <c r="U182" s="4">
        <v>800.81315874200004</v>
      </c>
      <c r="V182" s="4">
        <f t="shared" si="160"/>
        <v>12480.938335682</v>
      </c>
      <c r="W182" s="97">
        <f t="shared" si="188"/>
        <v>6.3579249702172991E-2</v>
      </c>
      <c r="X182" s="97">
        <f t="shared" si="170"/>
        <v>-5.6394960772460756E-2</v>
      </c>
      <c r="Y182" s="4">
        <v>875.45887200200002</v>
      </c>
      <c r="Z182" s="4">
        <f t="shared" si="161"/>
        <v>9213.7691680019998</v>
      </c>
      <c r="AA182" s="97">
        <f t="shared" si="189"/>
        <v>0.19584118081189383</v>
      </c>
      <c r="AB182" s="97">
        <f t="shared" si="171"/>
        <v>9.440657481060355E-2</v>
      </c>
      <c r="AC182" s="4">
        <v>564.73940429799995</v>
      </c>
      <c r="AD182" s="4">
        <f t="shared" si="136"/>
        <v>0.25765020449424852</v>
      </c>
      <c r="AE182" s="4">
        <v>89.613332210999999</v>
      </c>
      <c r="AF182" s="4">
        <f t="shared" si="137"/>
        <v>4.0884155052498691E-2</v>
      </c>
      <c r="AG182" s="4">
        <v>1004.9312945460001</v>
      </c>
      <c r="AH182" s="4">
        <f t="shared" si="138"/>
        <v>178.84733876892403</v>
      </c>
      <c r="AI182" s="4">
        <v>415.07373730699999</v>
      </c>
      <c r="AJ182" s="4">
        <f t="shared" si="139"/>
        <v>59.69601248364642</v>
      </c>
      <c r="AK182" s="101">
        <f>SUMIFS($AJ$3:$AJ182,$D$3:$D182,D182)</f>
        <v>498.2848347359963</v>
      </c>
      <c r="AL182" s="4">
        <v>169.39749999999998</v>
      </c>
      <c r="AM182" s="4">
        <f t="shared" si="140"/>
        <v>24.362792356624375</v>
      </c>
      <c r="AN182" s="101">
        <f>SUMIFS($AM$3:$AM182,$D$3:$D182,D182)</f>
        <v>52.462986634255955</v>
      </c>
      <c r="AO182" s="4">
        <f t="shared" si="153"/>
        <v>420.46005723900015</v>
      </c>
      <c r="AP182" s="56">
        <v>3817.2365188990007</v>
      </c>
      <c r="AQ182" s="4">
        <f t="shared" si="141"/>
        <v>1.7415320450673997</v>
      </c>
      <c r="AR182" s="4">
        <f>SUMIFS($AP$3:$AP182,$D$3:$D182,D182)</f>
        <v>28144.674805253999</v>
      </c>
      <c r="AS182" s="4">
        <f t="shared" si="162"/>
        <v>28144.674805253999</v>
      </c>
      <c r="AT182" s="97">
        <f t="shared" si="172"/>
        <v>0.1095624676755238</v>
      </c>
      <c r="AU182" s="97">
        <f t="shared" si="173"/>
        <v>7.6370082328132582E-2</v>
      </c>
      <c r="AV182" s="98">
        <f t="shared" si="184"/>
        <v>7.6370082328132582E-2</v>
      </c>
      <c r="AW182" s="4">
        <v>2169.6342742220004</v>
      </c>
      <c r="AX182" s="4">
        <f>SUMIFS($AW$3:$AW182,$D$3:$D182,D182)</f>
        <v>13905.046660434</v>
      </c>
      <c r="AY182" s="4">
        <f t="shared" si="163"/>
        <v>13905.046660434</v>
      </c>
      <c r="AZ182" s="97">
        <f t="shared" si="174"/>
        <v>6.8539435557809059E-2</v>
      </c>
      <c r="BA182" s="97">
        <f t="shared" si="175"/>
        <v>5.435812787185057E-2</v>
      </c>
      <c r="BB182" s="97">
        <f t="shared" si="190"/>
        <v>5.435812787185057E-2</v>
      </c>
      <c r="BC182" s="4">
        <v>763.12934905400004</v>
      </c>
      <c r="BD182" s="4">
        <f t="shared" si="154"/>
        <v>1406.5049251680002</v>
      </c>
      <c r="BE182" s="4">
        <v>257.95124125199999</v>
      </c>
      <c r="BF182" s="4">
        <v>29.043994151</v>
      </c>
      <c r="BG182" s="4">
        <f t="shared" si="142"/>
        <v>4.1771147667930517</v>
      </c>
      <c r="BH182" s="4">
        <f>Datos1[[#This Row],[Intereses]]/Datos1[[#This Row],[PIB nominal (miles de millones de G.)]]*100</f>
        <v>1.3250697534798194E-2</v>
      </c>
      <c r="BI182" s="4">
        <v>443.08974065400002</v>
      </c>
      <c r="BJ182" s="4">
        <v>670.24088352800004</v>
      </c>
      <c r="BK182" s="4">
        <v>247.27638509200003</v>
      </c>
      <c r="BL182" s="56">
        <f t="shared" si="192"/>
        <v>-419.09478021900077</v>
      </c>
      <c r="BM182" s="56">
        <f>SUMIFS($BL$3:$BL182,$D$3:$D182,D182)</f>
        <v>2950.5831756159996</v>
      </c>
      <c r="BN182" s="56">
        <f t="shared" si="194"/>
        <v>2950.5831756159996</v>
      </c>
      <c r="BO182" s="100">
        <f t="shared" si="176"/>
        <v>-0.22455312428684349</v>
      </c>
      <c r="BP182" s="100">
        <f t="shared" si="177"/>
        <v>0.28968518805358645</v>
      </c>
      <c r="BQ182" s="100">
        <f t="shared" si="185"/>
        <v>0.28968518805358645</v>
      </c>
      <c r="BR182" s="2">
        <f t="shared" si="144"/>
        <v>-0.19120297787635732</v>
      </c>
      <c r="BS182" s="2">
        <f>+Datos1[[#This Row],[RON acumulado 12 meses]]/Datos1[[#This Row],[PIB nominal (miles de millones de G.)]]*100</f>
        <v>1.3461401007067002</v>
      </c>
      <c r="BT182" s="56">
        <v>816.36754835000011</v>
      </c>
      <c r="BU182" s="56">
        <f>SUMIFS($BT$3:$BT182,$D$3:$D182,D182)</f>
        <v>5338.5771111909999</v>
      </c>
      <c r="BV182" s="56">
        <f t="shared" si="164"/>
        <v>5338.5771111909999</v>
      </c>
      <c r="BW182" s="100">
        <f t="shared" si="178"/>
        <v>0.25594854547787427</v>
      </c>
      <c r="BX182" s="100">
        <f t="shared" si="179"/>
        <v>0.1856180342309528</v>
      </c>
      <c r="BY182" s="100">
        <f t="shared" si="186"/>
        <v>0.1856180342309528</v>
      </c>
      <c r="BZ182" s="56">
        <f t="shared" si="145"/>
        <v>117.41019240034572</v>
      </c>
      <c r="CA182" s="56">
        <f>Datos1[[#This Row],[Adquisición Neta de Activos no Financieros]]/Datos1[[#This Row],[PIB nominal (miles de millones de G.)]]*100</f>
        <v>0.37245013217433598</v>
      </c>
      <c r="CB182" s="56">
        <f>+Datos1[[#This Row],[ANANF acumulado por año]]/Datos1[[#This Row],[PIB nominal (miles de millones de G.)]]*100</f>
        <v>2.4356109631069125</v>
      </c>
      <c r="CC182" s="56">
        <f>+Datos1[[#This Row],[ANANF acumulado 12 meses]]/Datos1[[#This Row],[PIB nominal (miles de millones de G.)]]*100</f>
        <v>2.4356109631069125</v>
      </c>
      <c r="CD182" s="4">
        <v>323.10073052500007</v>
      </c>
      <c r="CE182" s="4">
        <f t="shared" si="146"/>
        <v>46.468430809511503</v>
      </c>
      <c r="CF182" s="4">
        <f t="shared" si="147"/>
        <v>493.26681782500003</v>
      </c>
      <c r="CG182" s="4">
        <f t="shared" si="148"/>
        <v>70.941761590834233</v>
      </c>
      <c r="CH182" s="56">
        <f t="shared" si="149"/>
        <v>-1235.4623285690009</v>
      </c>
      <c r="CI182" s="56">
        <f>SUMIFS($CH$3:$CH182,$D$3:$D182,D182)</f>
        <v>-2387.9939355750007</v>
      </c>
      <c r="CJ182" s="56">
        <f t="shared" si="195"/>
        <v>-2387.9939355750007</v>
      </c>
      <c r="CK182" s="56">
        <f>Datos1[[#This Row],[Resultado Fiscal (miles de millones de G.)]]*1000/$F$207</f>
        <v>-177.68451231782177</v>
      </c>
      <c r="CL182" s="56">
        <f t="shared" si="165"/>
        <v>-343.44190676540086</v>
      </c>
      <c r="CM182" s="100">
        <f t="shared" si="180"/>
        <v>3.7805420773885379E-2</v>
      </c>
      <c r="CN182" s="100">
        <f t="shared" si="181"/>
        <v>7.8126485028871873E-2</v>
      </c>
      <c r="CO182" s="100">
        <f t="shared" si="187"/>
        <v>7.8126485028871873E-2</v>
      </c>
      <c r="CP182" s="4">
        <f t="shared" si="150"/>
        <v>-0.5636531100506933</v>
      </c>
      <c r="CQ182" s="4">
        <f t="shared" si="196"/>
        <v>-1.0894708624002125</v>
      </c>
      <c r="CR182" s="73">
        <v>2323.9721055220002</v>
      </c>
      <c r="CS182" s="113">
        <f>SUM(Datos1[[#This Row],[FFPP]:[MTESS]])</f>
        <v>0</v>
      </c>
      <c r="CT182" s="113"/>
      <c r="CU182" s="113"/>
      <c r="CV182" s="113"/>
      <c r="CW182" s="113"/>
      <c r="CX182" s="113"/>
      <c r="CY182" s="113"/>
      <c r="CZ182" s="113"/>
    </row>
    <row r="183" spans="1:104">
      <c r="A183">
        <v>181</v>
      </c>
      <c r="B183" s="76">
        <v>43101</v>
      </c>
      <c r="C183" s="14" t="str">
        <f t="shared" si="132"/>
        <v>Enero</v>
      </c>
      <c r="D183" s="14">
        <f t="shared" si="151"/>
        <v>2018</v>
      </c>
      <c r="E183" s="15">
        <f t="shared" si="133"/>
        <v>231489.27758229643</v>
      </c>
      <c r="F183" s="15">
        <f t="shared" si="191"/>
        <v>5732.1045649777852</v>
      </c>
      <c r="G183" s="56">
        <v>2401.1146874629999</v>
      </c>
      <c r="H183" s="4">
        <f t="shared" si="152"/>
        <v>1.0372466113940775</v>
      </c>
      <c r="I183" s="4">
        <f>SUMIFS($G$3:$G183,$D$3:$D183,D183)</f>
        <v>2401.1146874629999</v>
      </c>
      <c r="J183" s="2">
        <f t="shared" si="159"/>
        <v>31355.210713838998</v>
      </c>
      <c r="K183" s="95">
        <f t="shared" si="166"/>
        <v>0.12140731924710102</v>
      </c>
      <c r="L183" s="95">
        <f t="shared" si="167"/>
        <v>0.12140731924710102</v>
      </c>
      <c r="M183" s="95">
        <f t="shared" si="182"/>
        <v>0.10124870170553746</v>
      </c>
      <c r="N183" s="4">
        <v>1871.333058213</v>
      </c>
      <c r="O183" s="4">
        <f t="shared" si="135"/>
        <v>0.80838865530077297</v>
      </c>
      <c r="P183" s="4">
        <f>SUMIFS($N$3:$N183,$D$3:$D183,D183)</f>
        <v>1871.333058213</v>
      </c>
      <c r="Q183" s="4">
        <f t="shared" si="193"/>
        <v>22018.146000138004</v>
      </c>
      <c r="R183" s="97">
        <f t="shared" si="168"/>
        <v>0.18179620496906224</v>
      </c>
      <c r="S183" s="97">
        <f t="shared" si="169"/>
        <v>0.18179620496906224</v>
      </c>
      <c r="T183" s="97">
        <f t="shared" si="183"/>
        <v>0.12455718813138472</v>
      </c>
      <c r="U183" s="4">
        <v>1001.5509066320001</v>
      </c>
      <c r="V183" s="4">
        <f t="shared" si="160"/>
        <v>12550.875191714003</v>
      </c>
      <c r="W183" s="97">
        <f t="shared" si="188"/>
        <v>6.3719117712186302E-2</v>
      </c>
      <c r="X183" s="97">
        <f t="shared" si="170"/>
        <v>7.5070632508126733E-2</v>
      </c>
      <c r="Y183" s="4">
        <v>853.63042299800009</v>
      </c>
      <c r="Z183" s="4">
        <f t="shared" si="161"/>
        <v>9411.0497405829992</v>
      </c>
      <c r="AA183" s="97">
        <f t="shared" si="189"/>
        <v>0.21667098587577716</v>
      </c>
      <c r="AB183" s="97">
        <f t="shared" si="171"/>
        <v>0.3005722823821193</v>
      </c>
      <c r="AC183" s="4">
        <v>123.437768107</v>
      </c>
      <c r="AD183" s="4">
        <f t="shared" si="136"/>
        <v>5.3323319937838939E-2</v>
      </c>
      <c r="AE183" s="4">
        <v>47.868066349999999</v>
      </c>
      <c r="AF183" s="4">
        <f t="shared" si="137"/>
        <v>2.0678308235241041E-2</v>
      </c>
      <c r="AG183" s="4">
        <v>358.47579479299998</v>
      </c>
      <c r="AH183" s="4">
        <f t="shared" si="138"/>
        <v>62.538251130872254</v>
      </c>
      <c r="AI183" s="4">
        <v>170.06075723800001</v>
      </c>
      <c r="AJ183" s="4">
        <f t="shared" si="139"/>
        <v>24.458182184505091</v>
      </c>
      <c r="AK183" s="101">
        <f>SUMIFS($AJ$3:$AJ183,$D$3:$D183,D183)</f>
        <v>24.458182184505091</v>
      </c>
      <c r="AL183" s="4">
        <v>56.125999999999998</v>
      </c>
      <c r="AM183" s="4">
        <f t="shared" si="140"/>
        <v>8.072055867459083</v>
      </c>
      <c r="AN183" s="101">
        <f>SUMIFS($AM$3:$AM183,$D$3:$D183,D183)</f>
        <v>8.072055867459083</v>
      </c>
      <c r="AO183" s="4">
        <f t="shared" si="153"/>
        <v>132.28903755499996</v>
      </c>
      <c r="AP183" s="56">
        <v>1855.585828383</v>
      </c>
      <c r="AQ183" s="4">
        <f t="shared" si="141"/>
        <v>0.80158608111916685</v>
      </c>
      <c r="AR183" s="4">
        <f>SUMIFS($AP$3:$AP183,$D$3:$D183,D183)</f>
        <v>1855.585828383</v>
      </c>
      <c r="AS183" s="4">
        <f t="shared" si="162"/>
        <v>27777.246960158998</v>
      </c>
      <c r="AT183" s="97">
        <f t="shared" si="172"/>
        <v>-0.16528366400920247</v>
      </c>
      <c r="AU183" s="97">
        <f t="shared" si="173"/>
        <v>-0.16528366400920247</v>
      </c>
      <c r="AV183" s="98">
        <f t="shared" si="184"/>
        <v>5.1917533164280272E-2</v>
      </c>
      <c r="AW183" s="4">
        <v>1114.4111813430002</v>
      </c>
      <c r="AX183" s="4">
        <f>SUMIFS($AW$3:$AW183,$D$3:$D183,D183)</f>
        <v>1114.4111813430002</v>
      </c>
      <c r="AY183" s="4">
        <f t="shared" si="163"/>
        <v>14033.883713429001</v>
      </c>
      <c r="AZ183" s="97">
        <f t="shared" si="174"/>
        <v>0.13072284396400891</v>
      </c>
      <c r="BA183" s="97">
        <f t="shared" si="175"/>
        <v>0.13072284396400891</v>
      </c>
      <c r="BB183" s="97">
        <f t="shared" si="190"/>
        <v>6.2343124316413201E-2</v>
      </c>
      <c r="BC183" s="4">
        <v>829.64021034400002</v>
      </c>
      <c r="BD183" s="4">
        <f t="shared" si="154"/>
        <v>284.77097099900016</v>
      </c>
      <c r="BE183" s="4">
        <v>96.853152843000004</v>
      </c>
      <c r="BF183" s="4">
        <v>150.84025935300002</v>
      </c>
      <c r="BG183" s="4">
        <f t="shared" si="142"/>
        <v>21.693885196868361</v>
      </c>
      <c r="BH183" s="4">
        <f>Datos1[[#This Row],[Intereses]]/Datos1[[#This Row],[PIB nominal (miles de millones de G.)]]*100</f>
        <v>6.5160797479863836E-2</v>
      </c>
      <c r="BI183" s="4">
        <v>128.55491450700001</v>
      </c>
      <c r="BJ183" s="4">
        <v>349.39086182900002</v>
      </c>
      <c r="BK183" s="4">
        <v>15.535458508000001</v>
      </c>
      <c r="BL183" s="56">
        <f t="shared" si="192"/>
        <v>545.52885907999985</v>
      </c>
      <c r="BM183" s="56">
        <f>SUMIFS($BL$3:$BL183,$D$3:$D183,D183)</f>
        <v>545.52885907999985</v>
      </c>
      <c r="BN183" s="56">
        <f t="shared" si="194"/>
        <v>3577.9637536800001</v>
      </c>
      <c r="BO183" s="100">
        <f t="shared" si="176"/>
        <v>-7.6648430338601887</v>
      </c>
      <c r="BP183" s="100">
        <f t="shared" si="177"/>
        <v>-7.6648430338601887</v>
      </c>
      <c r="BQ183" s="100">
        <f t="shared" si="185"/>
        <v>0.73173215568131766</v>
      </c>
      <c r="BR183" s="2">
        <f t="shared" si="144"/>
        <v>0.23566053027491074</v>
      </c>
      <c r="BS183" s="2">
        <f>+Datos1[[#This Row],[RON acumulado 12 meses]]/Datos1[[#This Row],[PIB nominal (miles de millones de G.)]]*100</f>
        <v>1.5456282861343342</v>
      </c>
      <c r="BT183" s="56">
        <v>174.05071023900004</v>
      </c>
      <c r="BU183" s="56">
        <f>SUMIFS($BT$3:$BT183,$D$3:$D183,D183)</f>
        <v>174.05071023900004</v>
      </c>
      <c r="BV183" s="56">
        <f t="shared" si="164"/>
        <v>5133.3630940440007</v>
      </c>
      <c r="BW183" s="100">
        <f t="shared" si="178"/>
        <v>-0.54108384547488275</v>
      </c>
      <c r="BX183" s="100">
        <f t="shared" si="179"/>
        <v>-0.54108384547488275</v>
      </c>
      <c r="BY183" s="100">
        <f t="shared" si="186"/>
        <v>5.9481635968191782E-2</v>
      </c>
      <c r="BZ183" s="56">
        <f t="shared" si="145"/>
        <v>25.032018259276288</v>
      </c>
      <c r="CA183" s="56">
        <f>Datos1[[#This Row],[Adquisición Neta de Activos no Financieros]]/Datos1[[#This Row],[PIB nominal (miles de millones de G.)]]*100</f>
        <v>7.5187374575966484E-2</v>
      </c>
      <c r="CB183" s="56">
        <f>+Datos1[[#This Row],[ANANF acumulado por año]]/Datos1[[#This Row],[PIB nominal (miles de millones de G.)]]*100</f>
        <v>7.5187374575966484E-2</v>
      </c>
      <c r="CC183" s="56">
        <f>+Datos1[[#This Row],[ANANF acumulado 12 meses]]/Datos1[[#This Row],[PIB nominal (miles de millones de G.)]]*100</f>
        <v>2.2175381718140468</v>
      </c>
      <c r="CD183" s="4">
        <v>116.523370926</v>
      </c>
      <c r="CE183" s="4">
        <f t="shared" si="146"/>
        <v>16.758421408604381</v>
      </c>
      <c r="CF183" s="4">
        <f t="shared" si="147"/>
        <v>57.527339313000041</v>
      </c>
      <c r="CG183" s="4">
        <f t="shared" si="148"/>
        <v>8.2735968506719075</v>
      </c>
      <c r="CH183" s="56">
        <f t="shared" si="149"/>
        <v>371.47814884099978</v>
      </c>
      <c r="CI183" s="56">
        <f>SUMIFS($CH$3:$CH183,$D$3:$D183,D183)</f>
        <v>371.47814884099978</v>
      </c>
      <c r="CJ183" s="56">
        <f t="shared" si="195"/>
        <v>-1555.3993403640002</v>
      </c>
      <c r="CK183" s="56">
        <f>Datos1[[#This Row],[Resultado Fiscal (miles de millones de G.)]]*1000/$F$207</f>
        <v>53.426083650800528</v>
      </c>
      <c r="CL183" s="56">
        <f t="shared" si="165"/>
        <v>-223.69793627957119</v>
      </c>
      <c r="CM183" s="100">
        <f t="shared" si="180"/>
        <v>-1.8056059413307608</v>
      </c>
      <c r="CN183" s="100">
        <f t="shared" si="181"/>
        <v>-1.8056059413307608</v>
      </c>
      <c r="CO183" s="100">
        <f t="shared" si="187"/>
        <v>-0.44031183302444288</v>
      </c>
      <c r="CP183" s="4">
        <f t="shared" si="150"/>
        <v>0.16047315569894424</v>
      </c>
      <c r="CQ183" s="4">
        <f t="shared" si="196"/>
        <v>-0.67190988567971244</v>
      </c>
      <c r="CR183" s="73">
        <v>1206.374835546</v>
      </c>
      <c r="CS183" s="113">
        <f>SUM(Datos1[[#This Row],[FFPP]:[MTESS]])</f>
        <v>0</v>
      </c>
      <c r="CT183" s="113"/>
      <c r="CU183" s="113"/>
      <c r="CV183" s="113"/>
      <c r="CW183" s="113"/>
      <c r="CX183" s="113"/>
      <c r="CY183" s="113"/>
      <c r="CZ183" s="113"/>
    </row>
    <row r="184" spans="1:104">
      <c r="A184">
        <v>182</v>
      </c>
      <c r="B184" s="3">
        <v>43132</v>
      </c>
      <c r="C184" s="14" t="str">
        <f t="shared" si="132"/>
        <v>Febrero</v>
      </c>
      <c r="D184" s="14">
        <f t="shared" si="151"/>
        <v>2018</v>
      </c>
      <c r="E184" s="15">
        <f t="shared" si="133"/>
        <v>231489.27758229643</v>
      </c>
      <c r="F184" s="15">
        <f t="shared" si="191"/>
        <v>5732.1045649777852</v>
      </c>
      <c r="G184" s="56">
        <v>2027.9859141850002</v>
      </c>
      <c r="H184" s="4">
        <f t="shared" si="152"/>
        <v>0.87606040995312795</v>
      </c>
      <c r="I184" s="4">
        <f>SUMIFS($G$3:$G184,$D$3:$D184,D184)</f>
        <v>4429.1006016480005</v>
      </c>
      <c r="J184" s="2">
        <f t="shared" si="159"/>
        <v>31183.098576004995</v>
      </c>
      <c r="K184" s="95">
        <f t="shared" si="166"/>
        <v>2.0233894077576142E-2</v>
      </c>
      <c r="L184" s="95">
        <f t="shared" si="167"/>
        <v>-7.8229303314938381E-2</v>
      </c>
      <c r="M184" s="95">
        <f t="shared" si="182"/>
        <v>9.9315974373662685E-2</v>
      </c>
      <c r="N184" s="4">
        <v>1435.5580623780002</v>
      </c>
      <c r="O184" s="4">
        <f t="shared" si="135"/>
        <v>0.6201401971491517</v>
      </c>
      <c r="P184" s="4">
        <f>SUMIFS($N$3:$N184,$D$3:$D184,D184)</f>
        <v>3306.8911205909999</v>
      </c>
      <c r="Q184" s="4">
        <f t="shared" si="193"/>
        <v>22188.556338368002</v>
      </c>
      <c r="R184" s="97">
        <f t="shared" si="168"/>
        <v>0.13469600029890705</v>
      </c>
      <c r="S184" s="97">
        <f t="shared" si="169"/>
        <v>0.16087770175166183</v>
      </c>
      <c r="T184" s="97">
        <f t="shared" si="183"/>
        <v>0.12806371024726304</v>
      </c>
      <c r="U184" s="4">
        <v>737.92395900200006</v>
      </c>
      <c r="V184" s="4">
        <f t="shared" si="160"/>
        <v>12622.649704301002</v>
      </c>
      <c r="W184" s="97">
        <f t="shared" si="188"/>
        <v>7.1464163795627922E-2</v>
      </c>
      <c r="X184" s="97">
        <f t="shared" si="170"/>
        <v>0.10774536100460197</v>
      </c>
      <c r="Y184" s="4">
        <v>765.7010881839999</v>
      </c>
      <c r="Z184" s="4">
        <f t="shared" si="161"/>
        <v>9552.3626456500006</v>
      </c>
      <c r="AA184" s="97">
        <f t="shared" si="189"/>
        <v>0.22740219228324854</v>
      </c>
      <c r="AB184" s="97">
        <f t="shared" si="171"/>
        <v>0.22632219649249863</v>
      </c>
      <c r="AC184" s="4">
        <v>110.876294112</v>
      </c>
      <c r="AD184" s="4">
        <f t="shared" si="136"/>
        <v>4.7896945927693134E-2</v>
      </c>
      <c r="AE184" s="4">
        <v>67.105506161999998</v>
      </c>
      <c r="AF184" s="4">
        <f t="shared" si="137"/>
        <v>2.8988602350337116E-2</v>
      </c>
      <c r="AG184" s="4">
        <v>414.446051533</v>
      </c>
      <c r="AH184" s="4">
        <f t="shared" si="138"/>
        <v>72.302597908837384</v>
      </c>
      <c r="AI184" s="4">
        <v>296.21170094299998</v>
      </c>
      <c r="AJ184" s="4">
        <f t="shared" si="139"/>
        <v>42.60124360558347</v>
      </c>
      <c r="AK184" s="101">
        <f>SUMIFS($AJ$3:$AJ184,$D$3:$D184,D184)</f>
        <v>67.059425790088568</v>
      </c>
      <c r="AL184" s="4">
        <v>0</v>
      </c>
      <c r="AM184" s="4">
        <f t="shared" si="140"/>
        <v>0</v>
      </c>
      <c r="AN184" s="101">
        <f>SUMIFS($AM$3:$AM184,$D$3:$D184,D184)</f>
        <v>8.072055867459083</v>
      </c>
      <c r="AO184" s="4">
        <f t="shared" si="153"/>
        <v>118.23435059000002</v>
      </c>
      <c r="AP184" s="56">
        <v>2680.6870775860002</v>
      </c>
      <c r="AQ184" s="4">
        <f t="shared" si="141"/>
        <v>1.1580178164550161</v>
      </c>
      <c r="AR184" s="4">
        <f>SUMIFS($AP$3:$AP184,$D$3:$D184,D184)</f>
        <v>4536.272905969</v>
      </c>
      <c r="AS184" s="4">
        <f t="shared" si="162"/>
        <v>28477.727389375999</v>
      </c>
      <c r="AT184" s="97">
        <f t="shared" si="172"/>
        <v>0.35374107535390409</v>
      </c>
      <c r="AU184" s="97">
        <f t="shared" si="173"/>
        <v>7.9237479508485142E-2</v>
      </c>
      <c r="AV184" s="98">
        <f t="shared" si="184"/>
        <v>8.8354855807078136E-2</v>
      </c>
      <c r="AW184" s="4">
        <v>1169.8172041560001</v>
      </c>
      <c r="AX184" s="4">
        <f>SUMIFS($AW$3:$AW184,$D$3:$D184,D184)</f>
        <v>2284.2283854990001</v>
      </c>
      <c r="AY184" s="4">
        <f t="shared" si="163"/>
        <v>14178.353647987002</v>
      </c>
      <c r="AZ184" s="97">
        <f t="shared" si="174"/>
        <v>0.14089854124704648</v>
      </c>
      <c r="BA184" s="97">
        <f t="shared" si="175"/>
        <v>0.13591132295482145</v>
      </c>
      <c r="BB184" s="97">
        <f t="shared" si="190"/>
        <v>7.0673135515063157E-2</v>
      </c>
      <c r="BC184" s="4">
        <v>838.38059147199999</v>
      </c>
      <c r="BD184" s="4">
        <f t="shared" si="154"/>
        <v>331.43661268400012</v>
      </c>
      <c r="BE184" s="4">
        <v>273.13358728399999</v>
      </c>
      <c r="BF184" s="4">
        <v>189.55134016899999</v>
      </c>
      <c r="BG184" s="4">
        <f t="shared" si="142"/>
        <v>27.261322873461655</v>
      </c>
      <c r="BH184" s="4">
        <f>Datos1[[#This Row],[Intereses]]/Datos1[[#This Row],[PIB nominal (miles de millones de G.)]]*100</f>
        <v>8.188342118853123E-2</v>
      </c>
      <c r="BI184" s="4">
        <v>598.01845786000001</v>
      </c>
      <c r="BJ184" s="4">
        <v>433.68759</v>
      </c>
      <c r="BK184" s="4">
        <v>16.478898116999996</v>
      </c>
      <c r="BL184" s="56">
        <f t="shared" si="192"/>
        <v>-652.70116340100003</v>
      </c>
      <c r="BM184" s="56">
        <f>SUMIFS($BL$3:$BL184,$D$3:$D184,D184)</f>
        <v>-107.17230432100018</v>
      </c>
      <c r="BN184" s="56">
        <f t="shared" si="194"/>
        <v>2705.371186629</v>
      </c>
      <c r="BO184" s="100">
        <f t="shared" si="176"/>
        <v>-3.9682886759861775</v>
      </c>
      <c r="BP184" s="100">
        <f t="shared" si="177"/>
        <v>-1.7763876350508512</v>
      </c>
      <c r="BQ184" s="100">
        <f t="shared" si="185"/>
        <v>0.22967905007465017</v>
      </c>
      <c r="BR184" s="2">
        <f t="shared" si="144"/>
        <v>-0.28195740650188827</v>
      </c>
      <c r="BS184" s="2">
        <f>+Datos1[[#This Row],[RON acumulado 12 meses]]/Datos1[[#This Row],[PIB nominal (miles de millones de G.)]]*100</f>
        <v>1.1686809924348298</v>
      </c>
      <c r="BT184" s="56">
        <v>134.95338517799999</v>
      </c>
      <c r="BU184" s="56">
        <f>SUMIFS($BT$3:$BT184,$D$3:$D184,D184)</f>
        <v>309.00409541700003</v>
      </c>
      <c r="BV184" s="56">
        <f t="shared" si="164"/>
        <v>5021.9814593290002</v>
      </c>
      <c r="BW184" s="100">
        <f t="shared" si="178"/>
        <v>-0.45215509659722997</v>
      </c>
      <c r="BX184" s="100">
        <f t="shared" si="179"/>
        <v>-0.50606742288341611</v>
      </c>
      <c r="BY184" s="100">
        <f t="shared" si="186"/>
        <v>2.9649526374946111E-2</v>
      </c>
      <c r="BZ184" s="56">
        <f t="shared" si="145"/>
        <v>19.409030835255326</v>
      </c>
      <c r="CA184" s="56">
        <f>Datos1[[#This Row],[Adquisición Neta de Activos no Financieros]]/Datos1[[#This Row],[PIB nominal (miles de millones de G.)]]*100</f>
        <v>5.8297898972889971E-2</v>
      </c>
      <c r="CB184" s="56">
        <f>+Datos1[[#This Row],[ANANF acumulado por año]]/Datos1[[#This Row],[PIB nominal (miles de millones de G.)]]*100</f>
        <v>0.13348527354885645</v>
      </c>
      <c r="CC184" s="56">
        <f>+Datos1[[#This Row],[ANANF acumulado 12 meses]]/Datos1[[#This Row],[PIB nominal (miles de millones de G.)]]*100</f>
        <v>2.1694229260980102</v>
      </c>
      <c r="CD184" s="4">
        <v>96.013302838000001</v>
      </c>
      <c r="CE184" s="4">
        <f t="shared" si="146"/>
        <v>13.808658100124786</v>
      </c>
      <c r="CF184" s="4">
        <f t="shared" si="147"/>
        <v>38.940082339999989</v>
      </c>
      <c r="CG184" s="4">
        <f t="shared" si="148"/>
        <v>5.6003727351305397</v>
      </c>
      <c r="CH184" s="56">
        <f t="shared" si="149"/>
        <v>-787.65454857899999</v>
      </c>
      <c r="CI184" s="56">
        <f>SUMIFS($CH$3:$CH184,$D$3:$D184,D184)</f>
        <v>-416.17639973800021</v>
      </c>
      <c r="CJ184" s="56">
        <f t="shared" si="195"/>
        <v>-2316.6102726999998</v>
      </c>
      <c r="CK184" s="56">
        <f>Datos1[[#This Row],[Resultado Fiscal (miles de millones de G.)]]*1000/$F$207</f>
        <v>-113.28068133107564</v>
      </c>
      <c r="CL184" s="56">
        <f t="shared" si="165"/>
        <v>-333.17548986858174</v>
      </c>
      <c r="CM184" s="100">
        <f t="shared" si="180"/>
        <v>28.786188898710055</v>
      </c>
      <c r="CN184" s="100">
        <f t="shared" si="181"/>
        <v>-0.14640998791498894</v>
      </c>
      <c r="CO184" s="100">
        <f t="shared" si="187"/>
        <v>-0.13472368028462645</v>
      </c>
      <c r="CP184" s="4">
        <f t="shared" si="150"/>
        <v>-0.34025530547477822</v>
      </c>
      <c r="CQ184" s="4">
        <f t="shared" si="196"/>
        <v>-1.00074193366318</v>
      </c>
      <c r="CR184" s="73">
        <v>1347.2393756040001</v>
      </c>
      <c r="CS184" s="113">
        <f>SUM(Datos1[[#This Row],[FFPP]:[MTESS]])</f>
        <v>0</v>
      </c>
      <c r="CT184" s="113"/>
      <c r="CU184" s="113"/>
      <c r="CV184" s="113"/>
      <c r="CW184" s="113"/>
      <c r="CX184" s="113"/>
      <c r="CY184" s="113"/>
      <c r="CZ184" s="113"/>
    </row>
    <row r="185" spans="1:104">
      <c r="A185">
        <v>183</v>
      </c>
      <c r="B185" s="3">
        <v>43160</v>
      </c>
      <c r="C185" s="14" t="str">
        <f t="shared" si="132"/>
        <v>Marzo</v>
      </c>
      <c r="D185" s="14">
        <f t="shared" si="151"/>
        <v>2018</v>
      </c>
      <c r="E185" s="15">
        <f t="shared" si="133"/>
        <v>231489.27758229643</v>
      </c>
      <c r="F185" s="15">
        <f t="shared" si="191"/>
        <v>5732.1045649777852</v>
      </c>
      <c r="G185" s="56">
        <v>2240.7732797899998</v>
      </c>
      <c r="H185" s="4">
        <f t="shared" si="152"/>
        <v>0.96798145607127994</v>
      </c>
      <c r="I185" s="4">
        <f>SUMIFS($G$3:$G185,$D$3:$D185,D185)</f>
        <v>6669.8738814380004</v>
      </c>
      <c r="J185" s="2">
        <f t="shared" si="159"/>
        <v>31169.203458966997</v>
      </c>
      <c r="K185" s="95">
        <f t="shared" si="166"/>
        <v>1.1210776341894046E-2</v>
      </c>
      <c r="L185" s="95">
        <f t="shared" si="167"/>
        <v>-6.1628206868684643E-3</v>
      </c>
      <c r="M185" s="95">
        <f t="shared" si="182"/>
        <v>8.6580304689078069E-2</v>
      </c>
      <c r="N185" s="4">
        <v>1614.228633106</v>
      </c>
      <c r="O185" s="4">
        <f t="shared" si="135"/>
        <v>0.69732328424245382</v>
      </c>
      <c r="P185" s="4">
        <f>SUMIFS($N$3:$N185,$D$3:$D185,D185)</f>
        <v>4921.1197536969994</v>
      </c>
      <c r="Q185" s="4">
        <f t="shared" si="193"/>
        <v>22318.276551600997</v>
      </c>
      <c r="R185" s="97">
        <f t="shared" si="168"/>
        <v>8.7382605242547262E-2</v>
      </c>
      <c r="S185" s="97">
        <f t="shared" si="169"/>
        <v>0.135698602626531</v>
      </c>
      <c r="T185" s="97">
        <f t="shared" si="183"/>
        <v>0.1315280835498529</v>
      </c>
      <c r="U185" s="4">
        <v>777.16701628400006</v>
      </c>
      <c r="V185" s="4">
        <f t="shared" si="160"/>
        <v>12685.123478751002</v>
      </c>
      <c r="W185" s="97">
        <f t="shared" si="188"/>
        <v>8.5622983797349894E-2</v>
      </c>
      <c r="X185" s="97">
        <f t="shared" si="170"/>
        <v>8.7413411507409666E-2</v>
      </c>
      <c r="Y185" s="4">
        <v>828.47061246700002</v>
      </c>
      <c r="Z185" s="4">
        <f t="shared" si="161"/>
        <v>9632.7964569499982</v>
      </c>
      <c r="AA185" s="97">
        <f t="shared" si="189"/>
        <v>0.21120709511401392</v>
      </c>
      <c r="AB185" s="97">
        <f t="shared" si="171"/>
        <v>0.10752654304509668</v>
      </c>
      <c r="AC185" s="4">
        <v>121.76357658999999</v>
      </c>
      <c r="AD185" s="4">
        <f t="shared" si="136"/>
        <v>5.2600093560148581E-2</v>
      </c>
      <c r="AE185" s="4">
        <v>98.260619801999994</v>
      </c>
      <c r="AF185" s="4">
        <f t="shared" si="137"/>
        <v>4.2447158170022578E-2</v>
      </c>
      <c r="AG185" s="4">
        <v>406.52045029200002</v>
      </c>
      <c r="AH185" s="4">
        <f t="shared" si="138"/>
        <v>70.919929265731298</v>
      </c>
      <c r="AI185" s="4">
        <v>295.30179190999991</v>
      </c>
      <c r="AJ185" s="4">
        <f t="shared" si="139"/>
        <v>42.47038025261547</v>
      </c>
      <c r="AK185" s="101">
        <f>SUMIFS($AJ$3:$AJ185,$D$3:$D185,D185)</f>
        <v>109.52980604270404</v>
      </c>
      <c r="AL185" s="4">
        <v>0</v>
      </c>
      <c r="AM185" s="4">
        <f t="shared" si="140"/>
        <v>0</v>
      </c>
      <c r="AN185" s="101">
        <f>SUMIFS($AM$3:$AM185,$D$3:$D185,D185)</f>
        <v>8.072055867459083</v>
      </c>
      <c r="AO185" s="4">
        <f t="shared" si="153"/>
        <v>111.21865838200011</v>
      </c>
      <c r="AP185" s="56">
        <v>2416.3503523569998</v>
      </c>
      <c r="AQ185" s="4">
        <f t="shared" si="141"/>
        <v>1.0438281969660415</v>
      </c>
      <c r="AR185" s="4">
        <f>SUMIFS($AP$3:$AP185,$D$3:$D185,D185)</f>
        <v>6952.6232583259998</v>
      </c>
      <c r="AS185" s="4">
        <f t="shared" si="162"/>
        <v>28859.169676935999</v>
      </c>
      <c r="AT185" s="97">
        <f t="shared" si="172"/>
        <v>0.1874493959500092</v>
      </c>
      <c r="AU185" s="97">
        <f t="shared" si="173"/>
        <v>0.11453673720658775</v>
      </c>
      <c r="AV185" s="98">
        <f t="shared" si="184"/>
        <v>0.1043532575391235</v>
      </c>
      <c r="AW185" s="4">
        <v>1160.637706389</v>
      </c>
      <c r="AX185" s="4">
        <f>SUMIFS($AW$3:$AW185,$D$3:$D185,D185)</f>
        <v>3444.866091888</v>
      </c>
      <c r="AY185" s="4">
        <f t="shared" si="163"/>
        <v>14312.045077576</v>
      </c>
      <c r="AZ185" s="97">
        <f t="shared" si="174"/>
        <v>0.13018346977758855</v>
      </c>
      <c r="BA185" s="97">
        <f t="shared" si="175"/>
        <v>0.13397503140949985</v>
      </c>
      <c r="BB185" s="97">
        <f t="shared" si="190"/>
        <v>8.0805662104287634E-2</v>
      </c>
      <c r="BC185" s="4">
        <v>832.74295004500004</v>
      </c>
      <c r="BD185" s="4">
        <f t="shared" si="154"/>
        <v>327.89475634399992</v>
      </c>
      <c r="BE185" s="4">
        <v>277.80653508200004</v>
      </c>
      <c r="BF185" s="4">
        <v>112.22667848099999</v>
      </c>
      <c r="BG185" s="4">
        <f t="shared" si="142"/>
        <v>16.140469987492427</v>
      </c>
      <c r="BH185" s="4">
        <f>Datos1[[#This Row],[Intereses]]/Datos1[[#This Row],[PIB nominal (miles de millones de G.)]]*100</f>
        <v>4.8480292328486982E-2</v>
      </c>
      <c r="BI185" s="4">
        <v>427.15604781399992</v>
      </c>
      <c r="BJ185" s="4">
        <v>390.87317562099997</v>
      </c>
      <c r="BK185" s="4">
        <v>47.650208969999994</v>
      </c>
      <c r="BL185" s="56">
        <f t="shared" si="192"/>
        <v>-175.57707256699996</v>
      </c>
      <c r="BM185" s="56">
        <f>SUMIFS($BL$3:$BL185,$D$3:$D185,D185)</f>
        <v>-282.74937688800014</v>
      </c>
      <c r="BN185" s="56">
        <f t="shared" si="194"/>
        <v>2310.0337820310001</v>
      </c>
      <c r="BO185" s="100">
        <f t="shared" si="176"/>
        <v>-1.7989479763901732</v>
      </c>
      <c r="BP185" s="100">
        <f t="shared" si="177"/>
        <v>-1.7902441690701345</v>
      </c>
      <c r="BQ185" s="100">
        <f t="shared" si="185"/>
        <v>-9.5312549819447145E-2</v>
      </c>
      <c r="BR185" s="2">
        <f t="shared" si="144"/>
        <v>-7.5846740894761663E-2</v>
      </c>
      <c r="BS185" s="2">
        <f>+Datos1[[#This Row],[RON acumulado 12 meses]]/Datos1[[#This Row],[PIB nominal (miles de millones de G.)]]*100</f>
        <v>0.99790098537491156</v>
      </c>
      <c r="BT185" s="56">
        <v>300.97126853200001</v>
      </c>
      <c r="BU185" s="56">
        <f>SUMIFS($BT$3:$BT185,$D$3:$D185,D185)</f>
        <v>609.97536394899998</v>
      </c>
      <c r="BV185" s="56">
        <f t="shared" si="164"/>
        <v>4852.4616696230005</v>
      </c>
      <c r="BW185" s="100">
        <f t="shared" si="178"/>
        <v>-0.36030395634054246</v>
      </c>
      <c r="BX185" s="100">
        <f t="shared" si="179"/>
        <v>-0.44349924214418601</v>
      </c>
      <c r="BY185" s="100">
        <f t="shared" si="186"/>
        <v>-4.0585621452605136E-2</v>
      </c>
      <c r="BZ185" s="56">
        <f t="shared" si="145"/>
        <v>43.285765849879446</v>
      </c>
      <c r="CA185" s="56">
        <f>Datos1[[#This Row],[Adquisición Neta de Activos no Financieros]]/Datos1[[#This Row],[PIB nominal (miles de millones de G.)]]*100</f>
        <v>0.1300152092033732</v>
      </c>
      <c r="CB185" s="56">
        <f>+Datos1[[#This Row],[ANANF acumulado por año]]/Datos1[[#This Row],[PIB nominal (miles de millones de G.)]]*100</f>
        <v>0.26350048275222959</v>
      </c>
      <c r="CC185" s="56">
        <f>+Datos1[[#This Row],[ANANF acumulado 12 meses]]/Datos1[[#This Row],[PIB nominal (miles de millones de G.)]]*100</f>
        <v>2.0961928432723664</v>
      </c>
      <c r="CD185" s="4">
        <v>209.85528789000003</v>
      </c>
      <c r="CE185" s="4">
        <f t="shared" si="146"/>
        <v>30.181441897334388</v>
      </c>
      <c r="CF185" s="4">
        <f t="shared" si="147"/>
        <v>91.115980641999982</v>
      </c>
      <c r="CG185" s="4">
        <f t="shared" si="148"/>
        <v>13.104323952545062</v>
      </c>
      <c r="CH185" s="56">
        <f t="shared" si="149"/>
        <v>-476.54834109899997</v>
      </c>
      <c r="CI185" s="56">
        <f>SUMIFS($CH$3:$CH185,$D$3:$D185,D185)</f>
        <v>-892.72474083700013</v>
      </c>
      <c r="CJ185" s="56">
        <f t="shared" si="195"/>
        <v>-2542.4278875919999</v>
      </c>
      <c r="CK185" s="56">
        <f>Datos1[[#This Row],[Resultado Fiscal (miles de millones de G.)]]*1000/$F$207</f>
        <v>-68.537305934790908</v>
      </c>
      <c r="CL185" s="56">
        <f t="shared" si="165"/>
        <v>-365.65263777266512</v>
      </c>
      <c r="CM185" s="100">
        <f t="shared" si="180"/>
        <v>0.90063798046661359</v>
      </c>
      <c r="CN185" s="100">
        <f t="shared" si="181"/>
        <v>0.20917767681190869</v>
      </c>
      <c r="CO185" s="100">
        <f t="shared" si="187"/>
        <v>1.5213801569694541E-2</v>
      </c>
      <c r="CP185" s="4">
        <f t="shared" si="150"/>
        <v>-0.20586195009813488</v>
      </c>
      <c r="CQ185" s="4">
        <f t="shared" si="196"/>
        <v>-1.0982918578974548</v>
      </c>
      <c r="CR185" s="73">
        <v>1261.4241618779999</v>
      </c>
      <c r="CS185" s="113">
        <f>SUM(Datos1[[#This Row],[FFPP]:[MTESS]])</f>
        <v>0</v>
      </c>
      <c r="CT185" s="113"/>
      <c r="CU185" s="113"/>
      <c r="CV185" s="113"/>
      <c r="CW185" s="113"/>
      <c r="CX185" s="113"/>
      <c r="CY185" s="113"/>
      <c r="CZ185" s="113"/>
    </row>
    <row r="186" spans="1:104">
      <c r="A186">
        <v>184</v>
      </c>
      <c r="B186" s="3">
        <v>43191</v>
      </c>
      <c r="C186" s="14" t="str">
        <f t="shared" si="132"/>
        <v>Abril</v>
      </c>
      <c r="D186" s="14">
        <f t="shared" si="151"/>
        <v>2018</v>
      </c>
      <c r="E186" s="15">
        <f t="shared" si="133"/>
        <v>231489.27758229643</v>
      </c>
      <c r="F186" s="15">
        <f t="shared" si="191"/>
        <v>5732.1045649777852</v>
      </c>
      <c r="G186" s="56">
        <v>3392.805268524</v>
      </c>
      <c r="H186" s="4">
        <f t="shared" si="152"/>
        <v>1.4656425144001879</v>
      </c>
      <c r="I186" s="4">
        <f>SUMIFS($G$3:$G186,$D$3:$D186,D186)</f>
        <v>10062.679149962001</v>
      </c>
      <c r="J186" s="2">
        <f t="shared" si="159"/>
        <v>32197.682189832998</v>
      </c>
      <c r="K186" s="95">
        <f t="shared" si="166"/>
        <v>0.12303491543736045</v>
      </c>
      <c r="L186" s="95">
        <f t="shared" si="167"/>
        <v>0.43499859874887115</v>
      </c>
      <c r="M186" s="95">
        <f t="shared" si="182"/>
        <v>0.1182325872279526</v>
      </c>
      <c r="N186" s="4">
        <v>2293.0501114809999</v>
      </c>
      <c r="O186" s="4">
        <f t="shared" si="135"/>
        <v>0.99056428679112407</v>
      </c>
      <c r="P186" s="4">
        <f>SUMIFS($N$3:$N186,$D$3:$D186,D186)</f>
        <v>7214.1698651779989</v>
      </c>
      <c r="Q186" s="4">
        <f t="shared" si="193"/>
        <v>22680.098462766997</v>
      </c>
      <c r="R186" s="97">
        <f t="shared" si="168"/>
        <v>0.18735326623077686</v>
      </c>
      <c r="S186" s="97">
        <f t="shared" si="169"/>
        <v>0.15162315213491251</v>
      </c>
      <c r="T186" s="97">
        <f t="shared" si="183"/>
        <v>0.1448151832192015</v>
      </c>
      <c r="U186" s="4">
        <v>1399.2803313630002</v>
      </c>
      <c r="V186" s="4">
        <f t="shared" si="160"/>
        <v>12759.549278176</v>
      </c>
      <c r="W186" s="97">
        <f t="shared" si="188"/>
        <v>8.793149128777733E-2</v>
      </c>
      <c r="X186" s="97">
        <f t="shared" si="170"/>
        <v>5.6176582130967656E-2</v>
      </c>
      <c r="Y186" s="4">
        <v>842.83490601900019</v>
      </c>
      <c r="Z186" s="4">
        <f t="shared" si="161"/>
        <v>9807.6181054119988</v>
      </c>
      <c r="AA186" s="97">
        <f t="shared" si="189"/>
        <v>0.21678282338663557</v>
      </c>
      <c r="AB186" s="97">
        <f t="shared" si="171"/>
        <v>0.26170386064094386</v>
      </c>
      <c r="AC186" s="4">
        <v>122.343828282</v>
      </c>
      <c r="AD186" s="4">
        <f t="shared" si="136"/>
        <v>5.2850753849065735E-2</v>
      </c>
      <c r="AE186" s="4">
        <v>516.90727370200011</v>
      </c>
      <c r="AF186" s="4">
        <f t="shared" si="137"/>
        <v>0.22329642180434692</v>
      </c>
      <c r="AG186" s="4">
        <v>460.50405505899994</v>
      </c>
      <c r="AH186" s="4">
        <f t="shared" si="138"/>
        <v>80.337692698874307</v>
      </c>
      <c r="AI186" s="4">
        <v>277.65926535400001</v>
      </c>
      <c r="AJ186" s="4">
        <f t="shared" si="139"/>
        <v>39.933027510514457</v>
      </c>
      <c r="AK186" s="101">
        <f>SUMIFS($AJ$3:$AJ186,$D$3:$D186,D186)</f>
        <v>149.4628335532185</v>
      </c>
      <c r="AL186" s="4">
        <v>29.967768542000002</v>
      </c>
      <c r="AM186" s="4">
        <f t="shared" si="140"/>
        <v>4.3099722391424091</v>
      </c>
      <c r="AN186" s="101">
        <f>SUMIFS($AM$3:$AM186,$D$3:$D186,D186)</f>
        <v>12.382028106601492</v>
      </c>
      <c r="AO186" s="4">
        <f t="shared" si="153"/>
        <v>152.87702116299994</v>
      </c>
      <c r="AP186" s="56">
        <v>2698.0565769049999</v>
      </c>
      <c r="AQ186" s="4">
        <f t="shared" si="141"/>
        <v>1.1655211874536251</v>
      </c>
      <c r="AR186" s="4">
        <f>SUMIFS($AP$3:$AP186,$D$3:$D186,D186)</f>
        <v>9650.6798352309997</v>
      </c>
      <c r="AS186" s="4">
        <f t="shared" si="162"/>
        <v>29332.602238193998</v>
      </c>
      <c r="AT186" s="97">
        <f t="shared" si="172"/>
        <v>0.21281464100364356</v>
      </c>
      <c r="AU186" s="97">
        <f t="shared" si="173"/>
        <v>0.1403712854246344</v>
      </c>
      <c r="AV186" s="98">
        <f t="shared" si="184"/>
        <v>0.10769858837499191</v>
      </c>
      <c r="AW186" s="4">
        <v>1170.5611231119999</v>
      </c>
      <c r="AX186" s="4">
        <f>SUMIFS($AW$3:$AW186,$D$3:$D186,D186)</f>
        <v>4615.4272149999997</v>
      </c>
      <c r="AY186" s="4">
        <f t="shared" si="163"/>
        <v>14448.012308560001</v>
      </c>
      <c r="AZ186" s="97">
        <f t="shared" si="174"/>
        <v>0.13142087153089266</v>
      </c>
      <c r="BA186" s="97">
        <f t="shared" si="175"/>
        <v>0.13332615648053303</v>
      </c>
      <c r="BB186" s="97">
        <f t="shared" si="190"/>
        <v>8.973409157770651E-2</v>
      </c>
      <c r="BC186" s="4">
        <v>834.55482431600001</v>
      </c>
      <c r="BD186" s="4">
        <f t="shared" si="154"/>
        <v>336.0062987959999</v>
      </c>
      <c r="BE186" s="4">
        <v>244.39149971800001</v>
      </c>
      <c r="BF186" s="4">
        <v>144.79590694199999</v>
      </c>
      <c r="BG186" s="4">
        <f t="shared" si="142"/>
        <v>20.824584866465283</v>
      </c>
      <c r="BH186" s="4">
        <f>Datos1[[#This Row],[Intereses]]/Datos1[[#This Row],[PIB nominal (miles de millones de G.)]]*100</f>
        <v>6.2549725177021981E-2</v>
      </c>
      <c r="BI186" s="4">
        <v>414.17958677899998</v>
      </c>
      <c r="BJ186" s="4">
        <v>446.80661520099994</v>
      </c>
      <c r="BK186" s="4">
        <v>277.32184515299997</v>
      </c>
      <c r="BL186" s="56">
        <f t="shared" si="192"/>
        <v>694.74869161900006</v>
      </c>
      <c r="BM186" s="56">
        <f>SUMIFS($BL$3:$BL186,$D$3:$D186,D186)</f>
        <v>411.99931473099991</v>
      </c>
      <c r="BN186" s="56">
        <f t="shared" si="194"/>
        <v>2865.0799516390002</v>
      </c>
      <c r="BO186" s="100">
        <f t="shared" si="176"/>
        <v>3.9730576199926926</v>
      </c>
      <c r="BP186" s="100">
        <f t="shared" si="177"/>
        <v>-0.17186489982352371</v>
      </c>
      <c r="BQ186" s="100">
        <f t="shared" si="185"/>
        <v>0.2388482241366614</v>
      </c>
      <c r="BR186" s="2">
        <f t="shared" si="144"/>
        <v>0.30012132694656274</v>
      </c>
      <c r="BS186" s="2">
        <f>+Datos1[[#This Row],[RON acumulado 12 meses]]/Datos1[[#This Row],[PIB nominal (miles de millones de G.)]]*100</f>
        <v>1.2376728553314698</v>
      </c>
      <c r="BT186" s="56">
        <v>598.79386945299996</v>
      </c>
      <c r="BU186" s="56">
        <f>SUMIFS($BT$3:$BT186,$D$3:$D186,D186)</f>
        <v>1208.7692334019998</v>
      </c>
      <c r="BV186" s="56">
        <f t="shared" si="164"/>
        <v>5064.1576494380006</v>
      </c>
      <c r="BW186" s="100">
        <f t="shared" si="178"/>
        <v>0.54687970531942276</v>
      </c>
      <c r="BX186" s="100">
        <f t="shared" si="179"/>
        <v>-0.18501992541435996</v>
      </c>
      <c r="BY186" s="100">
        <f t="shared" si="186"/>
        <v>-1.9440538025216836E-2</v>
      </c>
      <c r="BZ186" s="56">
        <f t="shared" si="145"/>
        <v>86.118689507832656</v>
      </c>
      <c r="CA186" s="56">
        <f>Datos1[[#This Row],[Adquisición Neta de Activos no Financieros]]/Datos1[[#This Row],[PIB nominal (miles de millones de G.)]]*100</f>
        <v>0.25867023980846093</v>
      </c>
      <c r="CB186" s="56">
        <f>+Datos1[[#This Row],[ANANF acumulado por año]]/Datos1[[#This Row],[PIB nominal (miles de millones de G.)]]*100</f>
        <v>0.52217072256069053</v>
      </c>
      <c r="CC186" s="56">
        <f>+Datos1[[#This Row],[ANANF acumulado 12 meses]]/Datos1[[#This Row],[PIB nominal (miles de millones de G.)]]*100</f>
        <v>2.1876424266077072</v>
      </c>
      <c r="CD186" s="4">
        <v>499.957896398</v>
      </c>
      <c r="CE186" s="4">
        <f t="shared" si="146"/>
        <v>71.904074245482946</v>
      </c>
      <c r="CF186" s="4">
        <f t="shared" si="147"/>
        <v>98.835973054999954</v>
      </c>
      <c r="CG186" s="4">
        <f t="shared" si="148"/>
        <v>14.214615262349716</v>
      </c>
      <c r="CH186" s="56">
        <f t="shared" si="149"/>
        <v>95.954822166000099</v>
      </c>
      <c r="CI186" s="56">
        <f>SUMIFS($CH$3:$CH186,$D$3:$D186,D186)</f>
        <v>-796.76991867100003</v>
      </c>
      <c r="CJ186" s="56">
        <f t="shared" si="195"/>
        <v>-2199.0776977989995</v>
      </c>
      <c r="CK186" s="56">
        <f>Datos1[[#This Row],[Resultado Fiscal (miles de millones de G.)]]*1000/$F$207</f>
        <v>13.800247394719987</v>
      </c>
      <c r="CL186" s="56">
        <f t="shared" si="165"/>
        <v>-316.27192448271438</v>
      </c>
      <c r="CM186" s="100">
        <f t="shared" si="180"/>
        <v>-1.3878602218238456</v>
      </c>
      <c r="CN186" s="100">
        <f t="shared" si="181"/>
        <v>-0.19165962364427169</v>
      </c>
      <c r="CO186" s="100">
        <f t="shared" si="187"/>
        <v>-0.22889783791335305</v>
      </c>
      <c r="CP186" s="4">
        <f t="shared" si="150"/>
        <v>4.1451087138101819E-2</v>
      </c>
      <c r="CQ186" s="4">
        <f t="shared" si="196"/>
        <v>-0.94996957127623693</v>
      </c>
      <c r="CR186" s="73">
        <v>1274.1998213009999</v>
      </c>
      <c r="CS186" s="113">
        <f>SUM(Datos1[[#This Row],[FFPP]:[MTESS]])</f>
        <v>0</v>
      </c>
      <c r="CT186" s="113"/>
      <c r="CU186" s="113"/>
      <c r="CV186" s="113"/>
      <c r="CW186" s="113"/>
      <c r="CX186" s="113"/>
      <c r="CY186" s="113"/>
      <c r="CZ186" s="113"/>
    </row>
    <row r="187" spans="1:104">
      <c r="A187">
        <v>185</v>
      </c>
      <c r="B187" s="3">
        <v>43221</v>
      </c>
      <c r="C187" s="14" t="str">
        <f t="shared" si="132"/>
        <v>Mayo</v>
      </c>
      <c r="D187" s="14">
        <f t="shared" si="151"/>
        <v>2018</v>
      </c>
      <c r="E187" s="15">
        <f t="shared" si="133"/>
        <v>231489.27758229643</v>
      </c>
      <c r="F187" s="15">
        <f t="shared" si="191"/>
        <v>5732.1045649777852</v>
      </c>
      <c r="G187" s="56">
        <v>2948.7626089170003</v>
      </c>
      <c r="H187" s="4">
        <f t="shared" si="152"/>
        <v>1.2738225457845189</v>
      </c>
      <c r="I187" s="4">
        <f>SUMIFS($G$3:$G187,$D$3:$D187,D187)</f>
        <v>13011.441758879002</v>
      </c>
      <c r="J187" s="2">
        <f t="shared" si="159"/>
        <v>32241.346430518999</v>
      </c>
      <c r="K187" s="95">
        <f t="shared" si="166"/>
        <v>9.659117767335812E-2</v>
      </c>
      <c r="L187" s="95">
        <f t="shared" si="167"/>
        <v>1.5030210736922234E-2</v>
      </c>
      <c r="M187" s="95">
        <f t="shared" si="182"/>
        <v>0.10434936708270648</v>
      </c>
      <c r="N187" s="4">
        <v>2192.3581292130002</v>
      </c>
      <c r="O187" s="4">
        <f t="shared" si="135"/>
        <v>0.94706681540945148</v>
      </c>
      <c r="P187" s="4">
        <f>SUMIFS($N$3:$N187,$D$3:$D187,D187)</f>
        <v>9406.5279943909991</v>
      </c>
      <c r="Q187" s="4">
        <f t="shared" si="193"/>
        <v>22636.182299145999</v>
      </c>
      <c r="R187" s="97">
        <f t="shared" si="168"/>
        <v>-1.9638093485099817E-2</v>
      </c>
      <c r="S187" s="97">
        <f t="shared" si="169"/>
        <v>0.10656914994517108</v>
      </c>
      <c r="T187" s="97">
        <f t="shared" si="183"/>
        <v>0.12742268273574031</v>
      </c>
      <c r="U187" s="4">
        <v>1386.7643075890001</v>
      </c>
      <c r="V187" s="4">
        <f t="shared" si="160"/>
        <v>12744.381811758001</v>
      </c>
      <c r="W187" s="97">
        <f t="shared" si="188"/>
        <v>8.0688907556043743E-2</v>
      </c>
      <c r="X187" s="97">
        <f t="shared" si="170"/>
        <v>-1.0818976143645131E-2</v>
      </c>
      <c r="Y187" s="4">
        <v>821.73473582400004</v>
      </c>
      <c r="Z187" s="4">
        <f t="shared" si="161"/>
        <v>9881.6608994939998</v>
      </c>
      <c r="AA187" s="97">
        <f t="shared" si="189"/>
        <v>0.19882759325148069</v>
      </c>
      <c r="AB187" s="97">
        <f t="shared" si="171"/>
        <v>9.902847676744031E-2</v>
      </c>
      <c r="AC187" s="4">
        <v>120.441819313</v>
      </c>
      <c r="AD187" s="4">
        <f t="shared" si="136"/>
        <v>5.2029113646605896E-2</v>
      </c>
      <c r="AE187" s="4">
        <v>159.46754256600002</v>
      </c>
      <c r="AF187" s="4">
        <f t="shared" si="137"/>
        <v>6.888765831035433E-2</v>
      </c>
      <c r="AG187" s="4">
        <v>476.49511782499997</v>
      </c>
      <c r="AH187" s="4">
        <f t="shared" si="138"/>
        <v>83.127429449962705</v>
      </c>
      <c r="AI187" s="4">
        <v>309.60413209800004</v>
      </c>
      <c r="AJ187" s="4">
        <f t="shared" si="139"/>
        <v>44.527346525518261</v>
      </c>
      <c r="AK187" s="101">
        <f>SUMIFS($AJ$3:$AJ187,$D$3:$D187,D187)</f>
        <v>193.99018007873676</v>
      </c>
      <c r="AL187" s="4">
        <v>41.401223999999999</v>
      </c>
      <c r="AM187" s="4">
        <f t="shared" si="140"/>
        <v>5.9543347665821154</v>
      </c>
      <c r="AN187" s="101">
        <f>SUMIFS($AM$3:$AM187,$D$3:$D187,D187)</f>
        <v>18.336362873183607</v>
      </c>
      <c r="AO187" s="4">
        <f t="shared" si="153"/>
        <v>125.48976172699993</v>
      </c>
      <c r="AP187" s="56">
        <v>2360.1503159770004</v>
      </c>
      <c r="AQ187" s="4">
        <f t="shared" si="141"/>
        <v>1.0195505988988827</v>
      </c>
      <c r="AR187" s="4">
        <f>SUMIFS($AP$3:$AP187,$D$3:$D187,D187)</f>
        <v>12010.830151208</v>
      </c>
      <c r="AS187" s="4">
        <f t="shared" si="162"/>
        <v>29430.978875242999</v>
      </c>
      <c r="AT187" s="97">
        <f t="shared" si="172"/>
        <v>4.3495349674255612E-2</v>
      </c>
      <c r="AU187" s="97">
        <f t="shared" si="173"/>
        <v>0.11994041137552935</v>
      </c>
      <c r="AV187" s="98">
        <f t="shared" ref="AV187:AV208" si="197">IFERROR(AS187/AS175-1,0)</f>
        <v>0.10422443971296214</v>
      </c>
      <c r="AW187" s="4">
        <v>1168.4360066460004</v>
      </c>
      <c r="AX187" s="4">
        <f>SUMIFS($AW$3:$AW187,$D$3:$D187,D187)</f>
        <v>5783.8632216460001</v>
      </c>
      <c r="AY187" s="4">
        <f t="shared" si="163"/>
        <v>14589.591416445001</v>
      </c>
      <c r="AZ187" s="97">
        <f t="shared" si="174"/>
        <v>0.13787618124378298</v>
      </c>
      <c r="BA187" s="97">
        <f t="shared" si="175"/>
        <v>0.13424240133740217</v>
      </c>
      <c r="BB187" s="97">
        <f t="shared" si="190"/>
        <v>9.796845914119312E-2</v>
      </c>
      <c r="BC187" s="4">
        <v>834.94744557399997</v>
      </c>
      <c r="BD187" s="4">
        <f t="shared" si="154"/>
        <v>333.48856107200038</v>
      </c>
      <c r="BE187" s="4">
        <v>253.49114426900002</v>
      </c>
      <c r="BF187" s="4">
        <v>72.321866960999998</v>
      </c>
      <c r="BG187" s="4">
        <f t="shared" si="142"/>
        <v>10.401349651643359</v>
      </c>
      <c r="BH187" s="4">
        <f>Datos1[[#This Row],[Intereses]]/Datos1[[#This Row],[PIB nominal (miles de millones de G.)]]*100</f>
        <v>3.1241994323166412E-2</v>
      </c>
      <c r="BI187" s="4">
        <v>352.48592491299996</v>
      </c>
      <c r="BJ187" s="4">
        <v>375.84804326400001</v>
      </c>
      <c r="BK187" s="4">
        <v>137.56732992400001</v>
      </c>
      <c r="BL187" s="56">
        <f t="shared" si="192"/>
        <v>588.61229293999986</v>
      </c>
      <c r="BM187" s="56">
        <f>SUMIFS($BL$3:$BL187,$D$3:$D187,D187)</f>
        <v>1000.6116076709998</v>
      </c>
      <c r="BN187" s="56">
        <f t="shared" si="194"/>
        <v>2810.3675552760001</v>
      </c>
      <c r="BO187" s="100">
        <f t="shared" si="176"/>
        <v>-8.5046318403040666E-2</v>
      </c>
      <c r="BP187" s="100">
        <f t="shared" si="177"/>
        <v>-0.12290697214902657</v>
      </c>
      <c r="BQ187" s="100">
        <f t="shared" si="185"/>
        <v>0.10565934255806342</v>
      </c>
      <c r="BR187" s="2">
        <f t="shared" si="144"/>
        <v>0.25427194688563626</v>
      </c>
      <c r="BS187" s="2">
        <f>+Datos1[[#This Row],[RON acumulado 12 meses]]/Datos1[[#This Row],[PIB nominal (miles de millones de G.)]]*100</f>
        <v>1.2140378961081211</v>
      </c>
      <c r="BT187" s="56">
        <v>463.10688289599995</v>
      </c>
      <c r="BU187" s="56">
        <f>SUMIFS($BT$3:$BT187,$D$3:$D187,D187)</f>
        <v>1671.8761162979997</v>
      </c>
      <c r="BV187" s="56">
        <f t="shared" si="164"/>
        <v>5060.6905791130002</v>
      </c>
      <c r="BW187" s="100">
        <f t="shared" si="178"/>
        <v>-7.4309127225492544E-3</v>
      </c>
      <c r="BX187" s="100">
        <f t="shared" si="179"/>
        <v>-0.14252326164390205</v>
      </c>
      <c r="BY187" s="100">
        <f t="shared" si="186"/>
        <v>-1.9420447278493125E-2</v>
      </c>
      <c r="BZ187" s="56">
        <f t="shared" si="145"/>
        <v>66.60415193210531</v>
      </c>
      <c r="CA187" s="56">
        <f>Datos1[[#This Row],[Adquisición Neta de Activos no Financieros]]/Datos1[[#This Row],[PIB nominal (miles de millones de G.)]]*100</f>
        <v>0.20005543571293985</v>
      </c>
      <c r="CB187" s="56">
        <f>+Datos1[[#This Row],[ANANF acumulado por año]]/Datos1[[#This Row],[PIB nominal (miles de millones de G.)]]*100</f>
        <v>0.72222615827363035</v>
      </c>
      <c r="CC187" s="56">
        <f>+Datos1[[#This Row],[ANANF acumulado 12 meses]]/Datos1[[#This Row],[PIB nominal (miles de millones de G.)]]*100</f>
        <v>2.1861447026693845</v>
      </c>
      <c r="CD187" s="4">
        <v>278.091994419</v>
      </c>
      <c r="CE187" s="4">
        <f t="shared" si="146"/>
        <v>39.99526271680304</v>
      </c>
      <c r="CF187" s="4">
        <f t="shared" si="147"/>
        <v>185.01488847699994</v>
      </c>
      <c r="CG187" s="4">
        <f t="shared" si="148"/>
        <v>26.60888921530227</v>
      </c>
      <c r="CH187" s="56">
        <f t="shared" si="149"/>
        <v>125.50541004399992</v>
      </c>
      <c r="CI187" s="56">
        <f>SUMIFS($CH$3:$CH187,$D$3:$D187,D187)</f>
        <v>-671.26450862700017</v>
      </c>
      <c r="CJ187" s="56">
        <f t="shared" si="195"/>
        <v>-2250.3230238369997</v>
      </c>
      <c r="CK187" s="56">
        <f>Datos1[[#This Row],[Resultado Fiscal (miles de millones de G.)]]*1000/$F$207</f>
        <v>18.050220602635633</v>
      </c>
      <c r="CL187" s="56">
        <f t="shared" si="165"/>
        <v>-323.64204055592268</v>
      </c>
      <c r="CM187" s="100">
        <f t="shared" si="180"/>
        <v>-0.28992991584615446</v>
      </c>
      <c r="CN187" s="100">
        <f t="shared" si="181"/>
        <v>-0.17018776563879734</v>
      </c>
      <c r="CO187" s="100">
        <f t="shared" si="187"/>
        <v>-0.14080803212677107</v>
      </c>
      <c r="CP187" s="4">
        <f t="shared" si="150"/>
        <v>5.4216511172696401E-2</v>
      </c>
      <c r="CQ187" s="4">
        <f t="shared" si="196"/>
        <v>-0.97210680656126314</v>
      </c>
      <c r="CR187" s="73">
        <v>1255.9582428179999</v>
      </c>
      <c r="CS187" s="113">
        <f>SUM(Datos1[[#This Row],[FFPP]:[MTESS]])</f>
        <v>0</v>
      </c>
      <c r="CT187" s="113"/>
      <c r="CU187" s="113"/>
      <c r="CV187" s="113"/>
      <c r="CW187" s="113"/>
      <c r="CX187" s="113"/>
      <c r="CY187" s="113"/>
      <c r="CZ187" s="113"/>
    </row>
    <row r="188" spans="1:104">
      <c r="A188">
        <v>186</v>
      </c>
      <c r="B188" s="3">
        <v>43252</v>
      </c>
      <c r="C188" s="14" t="str">
        <f t="shared" si="132"/>
        <v>Junio</v>
      </c>
      <c r="D188" s="14">
        <f t="shared" si="151"/>
        <v>2018</v>
      </c>
      <c r="E188" s="15">
        <f t="shared" si="133"/>
        <v>231489.27758229643</v>
      </c>
      <c r="F188" s="15">
        <f t="shared" si="191"/>
        <v>5732.1045649777852</v>
      </c>
      <c r="G188" s="56">
        <v>2517.4616609350001</v>
      </c>
      <c r="H188" s="4">
        <f t="shared" si="152"/>
        <v>1.0875068112128956</v>
      </c>
      <c r="I188" s="4">
        <f>SUMIFS($G$3:$G188,$D$3:$D188,D188)</f>
        <v>15528.903419814002</v>
      </c>
      <c r="J188" s="2">
        <f t="shared" si="159"/>
        <v>32399.467381441002</v>
      </c>
      <c r="K188" s="95">
        <f t="shared" si="166"/>
        <v>9.1686288563162188E-2</v>
      </c>
      <c r="L188" s="95">
        <f t="shared" si="167"/>
        <v>6.7019125406914348E-2</v>
      </c>
      <c r="M188" s="95">
        <f t="shared" si="182"/>
        <v>0.10075121323792313</v>
      </c>
      <c r="N188" s="4">
        <v>1811.740080672</v>
      </c>
      <c r="O188" s="4">
        <f t="shared" si="135"/>
        <v>0.78264535601564134</v>
      </c>
      <c r="P188" s="4">
        <f>SUMIFS($N$3:$N188,$D$3:$D188,D188)</f>
        <v>11218.268075062999</v>
      </c>
      <c r="Q188" s="4">
        <f t="shared" si="193"/>
        <v>22714.395416558</v>
      </c>
      <c r="R188" s="97">
        <f t="shared" si="168"/>
        <v>4.5117912250361103E-2</v>
      </c>
      <c r="S188" s="97">
        <f t="shared" si="169"/>
        <v>9.6160139908162412E-2</v>
      </c>
      <c r="T188" s="97">
        <f t="shared" si="183"/>
        <v>0.11831638215697793</v>
      </c>
      <c r="U188" s="4">
        <v>982.45458276800014</v>
      </c>
      <c r="V188" s="4">
        <f t="shared" si="160"/>
        <v>12692.150727476999</v>
      </c>
      <c r="W188" s="97">
        <f t="shared" si="188"/>
        <v>6.2571663278868872E-2</v>
      </c>
      <c r="X188" s="97">
        <f t="shared" si="170"/>
        <v>-5.0480146719309338E-2</v>
      </c>
      <c r="Y188" s="4">
        <v>817.71373343500011</v>
      </c>
      <c r="Z188" s="4">
        <f t="shared" si="161"/>
        <v>9982.1304200310024</v>
      </c>
      <c r="AA188" s="97">
        <f t="shared" si="189"/>
        <v>0.19593311680879322</v>
      </c>
      <c r="AB188" s="97">
        <f t="shared" si="171"/>
        <v>0.14007714350326594</v>
      </c>
      <c r="AC188" s="4">
        <v>107.90434824099999</v>
      </c>
      <c r="AD188" s="4">
        <f t="shared" si="136"/>
        <v>4.661310854997984E-2</v>
      </c>
      <c r="AE188" s="4">
        <v>69.452512061999997</v>
      </c>
      <c r="AF188" s="4">
        <f t="shared" si="137"/>
        <v>3.0002474752770798E-2</v>
      </c>
      <c r="AG188" s="4">
        <v>528.36471996</v>
      </c>
      <c r="AH188" s="4">
        <f t="shared" si="138"/>
        <v>92.176392452472243</v>
      </c>
      <c r="AI188" s="4">
        <v>282.58964024099998</v>
      </c>
      <c r="AJ188" s="4">
        <f t="shared" si="139"/>
        <v>40.642115304680814</v>
      </c>
      <c r="AK188" s="101">
        <f>SUMIFS($AJ$3:$AJ188,$D$3:$D188,D188)</f>
        <v>234.63229538341756</v>
      </c>
      <c r="AL188" s="4">
        <v>0</v>
      </c>
      <c r="AM188" s="4">
        <f t="shared" si="140"/>
        <v>0</v>
      </c>
      <c r="AN188" s="101">
        <f>SUMIFS($AM$3:$AM188,$D$3:$D188,D188)</f>
        <v>18.336362873183607</v>
      </c>
      <c r="AO188" s="4">
        <f t="shared" si="153"/>
        <v>245.77507971900002</v>
      </c>
      <c r="AP188" s="56">
        <v>2423.4578774350002</v>
      </c>
      <c r="AQ188" s="4">
        <f t="shared" si="141"/>
        <v>1.0468985443930292</v>
      </c>
      <c r="AR188" s="4">
        <f>SUMIFS($AP$3:$AP188,$D$3:$D188,D188)</f>
        <v>14434.288028643001</v>
      </c>
      <c r="AS188" s="4">
        <f t="shared" si="162"/>
        <v>29658.790555115</v>
      </c>
      <c r="AT188" s="97">
        <f t="shared" si="172"/>
        <v>0.10375609700909649</v>
      </c>
      <c r="AU188" s="97">
        <f t="shared" si="173"/>
        <v>0.11719005886225986</v>
      </c>
      <c r="AV188" s="98">
        <f t="shared" si="197"/>
        <v>0.10529848267238062</v>
      </c>
      <c r="AW188" s="4">
        <v>1178.2582841400001</v>
      </c>
      <c r="AX188" s="4">
        <f>SUMIFS($AW$3:$AW188,$D$3:$D188,D188)</f>
        <v>6962.1215057859999</v>
      </c>
      <c r="AY188" s="4">
        <f t="shared" si="163"/>
        <v>14558.075480309002</v>
      </c>
      <c r="AZ188" s="97">
        <f t="shared" si="174"/>
        <v>-2.6051089209695566E-2</v>
      </c>
      <c r="BA188" s="97">
        <f t="shared" si="175"/>
        <v>0.10350597976366638</v>
      </c>
      <c r="BB188" s="97">
        <f t="shared" si="190"/>
        <v>8.2992857836501122E-2</v>
      </c>
      <c r="BC188" s="4">
        <v>838.20782397000005</v>
      </c>
      <c r="BD188" s="4">
        <f t="shared" si="154"/>
        <v>340.05046017000006</v>
      </c>
      <c r="BE188" s="4">
        <v>258.19869960700004</v>
      </c>
      <c r="BF188" s="4">
        <v>15.027948557</v>
      </c>
      <c r="BG188" s="4">
        <f t="shared" si="142"/>
        <v>2.1613234566048729</v>
      </c>
      <c r="BH188" s="4">
        <f>Datos1[[#This Row],[Intereses]]/Datos1[[#This Row],[PIB nominal (miles de millones de G.)]]*100</f>
        <v>6.4918551364252439E-3</v>
      </c>
      <c r="BI188" s="4">
        <v>368.50487381500005</v>
      </c>
      <c r="BJ188" s="4">
        <v>441.60078218199999</v>
      </c>
      <c r="BK188" s="4">
        <v>161.867289134</v>
      </c>
      <c r="BL188" s="56">
        <f t="shared" si="192"/>
        <v>94.003783499999827</v>
      </c>
      <c r="BM188" s="56">
        <f>SUMIFS($BL$3:$BL188,$D$3:$D188,D188)</f>
        <v>1094.6153911709996</v>
      </c>
      <c r="BN188" s="56">
        <f t="shared" si="194"/>
        <v>2740.6768263260001</v>
      </c>
      <c r="BO188" s="100">
        <f t="shared" si="176"/>
        <v>-0.42573650091836257</v>
      </c>
      <c r="BP188" s="100">
        <f t="shared" si="177"/>
        <v>-0.16090674672529537</v>
      </c>
      <c r="BQ188" s="100">
        <f t="shared" si="185"/>
        <v>5.3833304833871276E-2</v>
      </c>
      <c r="BR188" s="2">
        <f t="shared" si="144"/>
        <v>4.0608266819866276E-2</v>
      </c>
      <c r="BS188" s="2">
        <f>+Datos1[[#This Row],[RON acumulado 12 meses]]/Datos1[[#This Row],[PIB nominal (miles de millones de G.)]]*100</f>
        <v>1.1839325151255293</v>
      </c>
      <c r="BT188" s="56">
        <v>371.55746987300012</v>
      </c>
      <c r="BU188" s="56">
        <f>SUMIFS($BT$3:$BT188,$D$3:$D188,D188)</f>
        <v>2043.4335861709999</v>
      </c>
      <c r="BV188" s="56">
        <f t="shared" si="164"/>
        <v>5112.0806919090001</v>
      </c>
      <c r="BW188" s="100">
        <f t="shared" si="178"/>
        <v>0.16051015714147532</v>
      </c>
      <c r="BX188" s="100">
        <f t="shared" si="179"/>
        <v>-9.9781234988696954E-2</v>
      </c>
      <c r="BY188" s="100">
        <f t="shared" si="186"/>
        <v>4.7779288184077728E-3</v>
      </c>
      <c r="BZ188" s="56">
        <f t="shared" si="145"/>
        <v>53.437491622182264</v>
      </c>
      <c r="CA188" s="56">
        <f>Datos1[[#This Row],[Adquisición Neta de Activos no Financieros]]/Datos1[[#This Row],[PIB nominal (miles de millones de G.)]]*100</f>
        <v>0.16050742123073419</v>
      </c>
      <c r="CB188" s="56">
        <f>+Datos1[[#This Row],[ANANF acumulado por año]]/Datos1[[#This Row],[PIB nominal (miles de millones de G.)]]*100</f>
        <v>0.8827335795043646</v>
      </c>
      <c r="CC188" s="56">
        <f>+Datos1[[#This Row],[ANANF acumulado 12 meses]]/Datos1[[#This Row],[PIB nominal (miles de millones de G.)]]*100</f>
        <v>2.2083444837273776</v>
      </c>
      <c r="CD188" s="4">
        <v>251.19239845799999</v>
      </c>
      <c r="CE188" s="4">
        <f t="shared" si="146"/>
        <v>36.126555853508506</v>
      </c>
      <c r="CF188" s="4">
        <f t="shared" si="147"/>
        <v>120.36507141500013</v>
      </c>
      <c r="CG188" s="4">
        <f t="shared" si="148"/>
        <v>17.310935768673758</v>
      </c>
      <c r="CH188" s="56">
        <f t="shared" si="149"/>
        <v>-277.55368637300029</v>
      </c>
      <c r="CI188" s="56">
        <f>SUMIFS($CH$3:$CH188,$D$3:$D188,D188)</f>
        <v>-948.81819500000051</v>
      </c>
      <c r="CJ188" s="56">
        <f t="shared" si="195"/>
        <v>-2371.403865583</v>
      </c>
      <c r="CK188" s="56">
        <f>Datos1[[#This Row],[Resultado Fiscal (miles de millones de G.)]]*1000/$F$207</f>
        <v>-39.91784311410175</v>
      </c>
      <c r="CL188" s="56">
        <f t="shared" si="165"/>
        <v>-341.05591859912352</v>
      </c>
      <c r="CM188" s="100">
        <f t="shared" si="180"/>
        <v>0.77381376963289239</v>
      </c>
      <c r="CN188" s="100">
        <f t="shared" si="181"/>
        <v>-1.7184512080117398E-2</v>
      </c>
      <c r="CO188" s="100">
        <f t="shared" si="187"/>
        <v>-4.651761827205303E-2</v>
      </c>
      <c r="CP188" s="4">
        <f t="shared" si="150"/>
        <v>-0.11989915441086793</v>
      </c>
      <c r="CQ188" s="4">
        <f t="shared" si="196"/>
        <v>-1.0244119686018482</v>
      </c>
      <c r="CR188" s="73">
        <v>1268.3948784449999</v>
      </c>
      <c r="CS188" s="113">
        <f>SUM(Datos1[[#This Row],[FFPP]:[MTESS]])</f>
        <v>0</v>
      </c>
      <c r="CT188" s="113"/>
      <c r="CU188" s="113"/>
      <c r="CV188" s="113"/>
      <c r="CW188" s="113"/>
      <c r="CX188" s="113"/>
      <c r="CY188" s="113"/>
      <c r="CZ188" s="113"/>
    </row>
    <row r="189" spans="1:104">
      <c r="A189">
        <v>187</v>
      </c>
      <c r="B189" s="3">
        <v>43282</v>
      </c>
      <c r="C189" s="14" t="str">
        <f t="shared" si="132"/>
        <v>Julio</v>
      </c>
      <c r="D189" s="14">
        <f t="shared" si="151"/>
        <v>2018</v>
      </c>
      <c r="E189" s="15">
        <f t="shared" si="133"/>
        <v>231489.27758229643</v>
      </c>
      <c r="F189" s="15">
        <f t="shared" si="191"/>
        <v>5732.1045649777852</v>
      </c>
      <c r="G189" s="56">
        <v>2973.0019349989998</v>
      </c>
      <c r="H189" s="4">
        <f t="shared" si="152"/>
        <v>1.2842935819962857</v>
      </c>
      <c r="I189" s="4">
        <f>SUMIFS($G$3:$G189,$D$3:$D189,D189)</f>
        <v>18501.905354813003</v>
      </c>
      <c r="J189" s="2">
        <f t="shared" si="159"/>
        <v>32658.768175926001</v>
      </c>
      <c r="K189" s="95">
        <f t="shared" si="166"/>
        <v>9.2305686596016123E-2</v>
      </c>
      <c r="L189" s="95">
        <f t="shared" si="167"/>
        <v>9.5552450715293613E-2</v>
      </c>
      <c r="M189" s="95">
        <f t="shared" si="182"/>
        <v>9.363181359105921E-2</v>
      </c>
      <c r="N189" s="4">
        <v>2204.795635163</v>
      </c>
      <c r="O189" s="4">
        <f t="shared" si="135"/>
        <v>0.95243963702775669</v>
      </c>
      <c r="P189" s="4">
        <f>SUMIFS($N$3:$N189,$D$3:$D189,D189)</f>
        <v>13423.063710225999</v>
      </c>
      <c r="Q189" s="4">
        <f t="shared" si="193"/>
        <v>22876.335136007001</v>
      </c>
      <c r="R189" s="97">
        <f t="shared" si="168"/>
        <v>7.9271238956860168E-2</v>
      </c>
      <c r="S189" s="97">
        <f t="shared" si="169"/>
        <v>9.3349879046725537E-2</v>
      </c>
      <c r="T189" s="97">
        <f t="shared" si="183"/>
        <v>0.10836248816087402</v>
      </c>
      <c r="U189" s="4">
        <v>1413.757228381</v>
      </c>
      <c r="V189" s="4">
        <f t="shared" si="160"/>
        <v>12801.7194745</v>
      </c>
      <c r="W189" s="97">
        <f t="shared" si="188"/>
        <v>6.208985816901591E-2</v>
      </c>
      <c r="X189" s="97">
        <f t="shared" si="170"/>
        <v>8.401296943591352E-2</v>
      </c>
      <c r="Y189" s="4">
        <v>811.72903164500019</v>
      </c>
      <c r="Z189" s="4">
        <f t="shared" si="161"/>
        <v>10058.402981761001</v>
      </c>
      <c r="AA189" s="97">
        <f t="shared" si="189"/>
        <v>0.17867997993505025</v>
      </c>
      <c r="AB189" s="97">
        <f t="shared" si="171"/>
        <v>0.10370778536874559</v>
      </c>
      <c r="AC189" s="4">
        <v>231.46026884399998</v>
      </c>
      <c r="AD189" s="4">
        <f t="shared" si="136"/>
        <v>9.9987468647101327E-2</v>
      </c>
      <c r="AE189" s="4">
        <v>77.039109077999996</v>
      </c>
      <c r="AF189" s="4">
        <f t="shared" si="137"/>
        <v>3.3279774287002094E-2</v>
      </c>
      <c r="AG189" s="4">
        <v>459.70692191400002</v>
      </c>
      <c r="AH189" s="4">
        <f t="shared" si="138"/>
        <v>80.198628043656697</v>
      </c>
      <c r="AI189" s="4">
        <v>264.01554036499999</v>
      </c>
      <c r="AJ189" s="4">
        <f t="shared" si="139"/>
        <v>37.970783446240212</v>
      </c>
      <c r="AK189" s="101">
        <f>SUMIFS($AJ$3:$AJ189,$D$3:$D189,D189)</f>
        <v>272.60307882965776</v>
      </c>
      <c r="AL189" s="4">
        <v>11.413180000000001</v>
      </c>
      <c r="AM189" s="4">
        <f t="shared" si="140"/>
        <v>1.6414465058148924</v>
      </c>
      <c r="AN189" s="101">
        <f>SUMIFS($AM$3:$AM189,$D$3:$D189,D189)</f>
        <v>19.977809378998501</v>
      </c>
      <c r="AO189" s="4">
        <f t="shared" si="153"/>
        <v>184.27820154900002</v>
      </c>
      <c r="AP189" s="56">
        <v>2436.9605869739999</v>
      </c>
      <c r="AQ189" s="4">
        <f t="shared" si="141"/>
        <v>1.0527315184642361</v>
      </c>
      <c r="AR189" s="4">
        <f>SUMIFS($AP$3:$AP189,$D$3:$D189,D189)</f>
        <v>16871.248615617002</v>
      </c>
      <c r="AS189" s="4">
        <f t="shared" si="162"/>
        <v>29835.066219325003</v>
      </c>
      <c r="AT189" s="97">
        <f t="shared" si="172"/>
        <v>7.7974450324761913E-2</v>
      </c>
      <c r="AU189" s="97">
        <f t="shared" si="173"/>
        <v>0.11135019529060952</v>
      </c>
      <c r="AV189" s="98">
        <f t="shared" si="197"/>
        <v>0.11227929338423004</v>
      </c>
      <c r="AW189" s="4">
        <v>1188.9290866199999</v>
      </c>
      <c r="AX189" s="4">
        <f>SUMIFS($AW$3:$AW189,$D$3:$D189,D189)</f>
        <v>8151.0505924059999</v>
      </c>
      <c r="AY189" s="4">
        <f t="shared" si="163"/>
        <v>14675.757453982998</v>
      </c>
      <c r="AZ189" s="97">
        <f t="shared" si="174"/>
        <v>0.10985511396186354</v>
      </c>
      <c r="BA189" s="97">
        <f t="shared" si="175"/>
        <v>0.10442754867036874</v>
      </c>
      <c r="BB189" s="97">
        <f t="shared" si="190"/>
        <v>8.8206511058566361E-2</v>
      </c>
      <c r="BC189" s="4">
        <v>847.50601823399995</v>
      </c>
      <c r="BD189" s="4">
        <f t="shared" si="154"/>
        <v>341.42306838599995</v>
      </c>
      <c r="BE189" s="4">
        <v>239.31943488000002</v>
      </c>
      <c r="BF189" s="4">
        <v>148.36506258</v>
      </c>
      <c r="BG189" s="4">
        <f t="shared" si="142"/>
        <v>21.337901755422138</v>
      </c>
      <c r="BH189" s="4">
        <f>Datos1[[#This Row],[Intereses]]/Datos1[[#This Row],[PIB nominal (miles de millones de G.)]]*100</f>
        <v>6.409154848533101E-2</v>
      </c>
      <c r="BI189" s="4">
        <v>434.36753413899999</v>
      </c>
      <c r="BJ189" s="4">
        <v>384.47328896199997</v>
      </c>
      <c r="BK189" s="4">
        <v>41.506179793000001</v>
      </c>
      <c r="BL189" s="56">
        <f t="shared" si="192"/>
        <v>536.04134802499993</v>
      </c>
      <c r="BM189" s="56">
        <f>SUMIFS($BL$3:$BL189,$D$3:$D189,D189)</f>
        <v>1630.6567391959995</v>
      </c>
      <c r="BN189" s="56">
        <f t="shared" si="194"/>
        <v>2823.7019566009999</v>
      </c>
      <c r="BO189" s="100">
        <f t="shared" si="176"/>
        <v>0.18327187200352801</v>
      </c>
      <c r="BP189" s="100">
        <f t="shared" si="177"/>
        <v>-7.2192591017580021E-2</v>
      </c>
      <c r="BQ189" s="100">
        <f t="shared" si="185"/>
        <v>-7.0940885717958868E-2</v>
      </c>
      <c r="BR189" s="2">
        <f t="shared" si="144"/>
        <v>0.23156206353204958</v>
      </c>
      <c r="BS189" s="2">
        <f>+Datos1[[#This Row],[RON acumulado 12 meses]]/Datos1[[#This Row],[PIB nominal (miles de millones de G.)]]*100</f>
        <v>1.2197981634795805</v>
      </c>
      <c r="BT189" s="56">
        <v>482.12541103400002</v>
      </c>
      <c r="BU189" s="56">
        <f>SUMIFS($BT$3:$BT189,$D$3:$D189,D189)</f>
        <v>2525.5589972049997</v>
      </c>
      <c r="BV189" s="56">
        <f t="shared" si="164"/>
        <v>5303.2685675120001</v>
      </c>
      <c r="BW189" s="100">
        <f t="shared" si="178"/>
        <v>0.65714406812366466</v>
      </c>
      <c r="BX189" s="100">
        <f t="shared" si="179"/>
        <v>-1.3787727445993547E-2</v>
      </c>
      <c r="BY189" s="100">
        <f t="shared" si="186"/>
        <v>6.7034604701387668E-2</v>
      </c>
      <c r="BZ189" s="56">
        <f t="shared" si="145"/>
        <v>69.339401578379395</v>
      </c>
      <c r="CA189" s="56">
        <f>Datos1[[#This Row],[Adquisición Neta de Activos no Financieros]]/Datos1[[#This Row],[PIB nominal (miles de millones de G.)]]*100</f>
        <v>0.20827116316979316</v>
      </c>
      <c r="CB189" s="56">
        <f>+Datos1[[#This Row],[ANANF acumulado por año]]/Datos1[[#This Row],[PIB nominal (miles de millones de G.)]]*100</f>
        <v>1.0910047426741576</v>
      </c>
      <c r="CC189" s="56">
        <f>+Datos1[[#This Row],[ANANF acumulado 12 meses]]/Datos1[[#This Row],[PIB nominal (miles de millones de G.)]]*100</f>
        <v>2.2909348644135981</v>
      </c>
      <c r="CD189" s="4">
        <v>295.30672725400001</v>
      </c>
      <c r="CE189" s="4">
        <f t="shared" si="146"/>
        <v>42.471090055068771</v>
      </c>
      <c r="CF189" s="4">
        <f t="shared" si="147"/>
        <v>186.81868378000001</v>
      </c>
      <c r="CG189" s="4">
        <f t="shared" si="148"/>
        <v>26.868311523310624</v>
      </c>
      <c r="CH189" s="56">
        <f t="shared" si="149"/>
        <v>53.91593699099991</v>
      </c>
      <c r="CI189" s="56">
        <f>SUMIFS($CH$3:$CH189,$D$3:$D189,D189)</f>
        <v>-894.90225800900066</v>
      </c>
      <c r="CJ189" s="56">
        <f t="shared" si="195"/>
        <v>-2479.5666109110002</v>
      </c>
      <c r="CK189" s="56">
        <f>Datos1[[#This Row],[Resultado Fiscal (miles de millones de G.)]]*1000/$F$207</f>
        <v>7.7542040326721127</v>
      </c>
      <c r="CL189" s="56">
        <f t="shared" si="165"/>
        <v>-356.61191266720886</v>
      </c>
      <c r="CM189" s="100">
        <f t="shared" si="180"/>
        <v>-0.66734714140331097</v>
      </c>
      <c r="CN189" s="100">
        <f t="shared" si="181"/>
        <v>0.11399141437229354</v>
      </c>
      <c r="CO189" s="100">
        <f t="shared" si="187"/>
        <v>0.2842263106953471</v>
      </c>
      <c r="CP189" s="4">
        <f t="shared" si="150"/>
        <v>2.3290900362256447E-2</v>
      </c>
      <c r="CQ189" s="4">
        <f t="shared" si="196"/>
        <v>-1.0711367009340176</v>
      </c>
      <c r="CR189" s="73">
        <v>1273.2345782540001</v>
      </c>
      <c r="CS189" s="113">
        <f>SUM(Datos1[[#This Row],[FFPP]:[MTESS]])</f>
        <v>0</v>
      </c>
      <c r="CT189" s="113"/>
      <c r="CU189" s="113"/>
      <c r="CV189" s="113"/>
      <c r="CW189" s="113"/>
      <c r="CX189" s="113"/>
      <c r="CY189" s="113"/>
      <c r="CZ189" s="113"/>
    </row>
    <row r="190" spans="1:104">
      <c r="A190">
        <v>188</v>
      </c>
      <c r="B190" s="3">
        <v>43313</v>
      </c>
      <c r="C190" s="14" t="str">
        <f t="shared" si="132"/>
        <v>Agosto</v>
      </c>
      <c r="D190" s="14">
        <f t="shared" si="151"/>
        <v>2018</v>
      </c>
      <c r="E190" s="15">
        <f t="shared" si="133"/>
        <v>231489.27758229643</v>
      </c>
      <c r="F190" s="15">
        <f t="shared" si="191"/>
        <v>5732.1045649777852</v>
      </c>
      <c r="G190" s="56">
        <v>2524.7144223740002</v>
      </c>
      <c r="H190" s="4">
        <f t="shared" si="152"/>
        <v>1.0906398986348049</v>
      </c>
      <c r="I190" s="4">
        <f>SUMIFS($G$3:$G190,$D$3:$D190,D190)</f>
        <v>21026.619777187003</v>
      </c>
      <c r="J190" s="2">
        <f t="shared" si="159"/>
        <v>32475.486063533001</v>
      </c>
      <c r="K190" s="95">
        <f t="shared" si="166"/>
        <v>7.0253515460944049E-2</v>
      </c>
      <c r="L190" s="95">
        <f t="shared" si="167"/>
        <v>-6.7681812011169962E-2</v>
      </c>
      <c r="M190" s="95">
        <f t="shared" si="182"/>
        <v>8.2215525664278477E-2</v>
      </c>
      <c r="N190" s="4">
        <v>1882.3286826670001</v>
      </c>
      <c r="O190" s="4">
        <f t="shared" si="135"/>
        <v>0.81313860509060332</v>
      </c>
      <c r="P190" s="4">
        <f>SUMIFS($N$3:$N190,$D$3:$D190,D190)</f>
        <v>15305.392392892998</v>
      </c>
      <c r="Q190" s="4">
        <f t="shared" si="193"/>
        <v>22957.693263424</v>
      </c>
      <c r="R190" s="97">
        <f t="shared" si="168"/>
        <v>4.5174601650112223E-2</v>
      </c>
      <c r="S190" s="97">
        <f t="shared" si="169"/>
        <v>8.7186901584715537E-2</v>
      </c>
      <c r="T190" s="97">
        <f t="shared" si="183"/>
        <v>9.539485717296059E-2</v>
      </c>
      <c r="U190" s="4">
        <v>867.80050169600008</v>
      </c>
      <c r="V190" s="4">
        <f t="shared" si="160"/>
        <v>12749.471200854001</v>
      </c>
      <c r="W190" s="97">
        <f t="shared" si="188"/>
        <v>4.1877186821777768E-2</v>
      </c>
      <c r="X190" s="97">
        <f t="shared" si="170"/>
        <v>-5.6788591046793346E-2</v>
      </c>
      <c r="Y190" s="4">
        <v>960.48868191399993</v>
      </c>
      <c r="Z190" s="4">
        <f t="shared" si="161"/>
        <v>10132.523001817</v>
      </c>
      <c r="AA190" s="97">
        <f t="shared" si="189"/>
        <v>0.16111665861997437</v>
      </c>
      <c r="AB190" s="97">
        <f t="shared" si="171"/>
        <v>8.3622112610152399E-2</v>
      </c>
      <c r="AC190" s="4">
        <v>126.360748374</v>
      </c>
      <c r="AD190" s="4">
        <f t="shared" si="136"/>
        <v>5.4586004887020159E-2</v>
      </c>
      <c r="AE190" s="4">
        <v>74.85800879300001</v>
      </c>
      <c r="AF190" s="4">
        <f t="shared" si="137"/>
        <v>3.2337570696503358E-2</v>
      </c>
      <c r="AG190" s="4">
        <v>441.16698253999999</v>
      </c>
      <c r="AH190" s="4">
        <f t="shared" si="138"/>
        <v>76.964224490156298</v>
      </c>
      <c r="AI190" s="4">
        <v>256.92244015599999</v>
      </c>
      <c r="AJ190" s="4">
        <f t="shared" si="139"/>
        <v>36.950651935700833</v>
      </c>
      <c r="AK190" s="101">
        <f>SUMIFS($AJ$3:$AJ190,$D$3:$D190,D190)</f>
        <v>309.55373076535858</v>
      </c>
      <c r="AL190" s="4">
        <v>0</v>
      </c>
      <c r="AM190" s="4">
        <f t="shared" si="140"/>
        <v>0</v>
      </c>
      <c r="AN190" s="101">
        <f>SUMIFS($AM$3:$AM190,$D$3:$D190,D190)</f>
        <v>19.977809378998501</v>
      </c>
      <c r="AO190" s="4">
        <f t="shared" si="153"/>
        <v>184.244542384</v>
      </c>
      <c r="AP190" s="56">
        <v>2408.2771975640003</v>
      </c>
      <c r="AQ190" s="4">
        <f t="shared" si="141"/>
        <v>1.0403407115510295</v>
      </c>
      <c r="AR190" s="4">
        <f>SUMIFS($AP$3:$AP190,$D$3:$D190,D190)</f>
        <v>19279.525813181001</v>
      </c>
      <c r="AS190" s="4">
        <f t="shared" si="162"/>
        <v>29909.797166047003</v>
      </c>
      <c r="AT190" s="97">
        <f t="shared" si="172"/>
        <v>3.2024626336433437E-2</v>
      </c>
      <c r="AU190" s="97">
        <f t="shared" si="173"/>
        <v>0.10078118650123558</v>
      </c>
      <c r="AV190" s="98">
        <f t="shared" si="197"/>
        <v>0.10030242594170335</v>
      </c>
      <c r="AW190" s="4">
        <v>1166.8447207199999</v>
      </c>
      <c r="AX190" s="4">
        <f>SUMIFS($AW$3:$AW190,$D$3:$D190,D190)</f>
        <v>9317.8953131260005</v>
      </c>
      <c r="AY190" s="4">
        <f t="shared" si="163"/>
        <v>14772.345290482001</v>
      </c>
      <c r="AZ190" s="97">
        <f t="shared" si="174"/>
        <v>9.0247339608848121E-2</v>
      </c>
      <c r="BA190" s="97">
        <f t="shared" si="175"/>
        <v>0.10263164396245927</v>
      </c>
      <c r="BB190" s="97">
        <f t="shared" si="190"/>
        <v>9.067941564283255E-2</v>
      </c>
      <c r="BC190" s="4">
        <v>846.11807400500004</v>
      </c>
      <c r="BD190" s="4">
        <f t="shared" si="154"/>
        <v>320.7266467149999</v>
      </c>
      <c r="BE190" s="4">
        <v>233.48279082000002</v>
      </c>
      <c r="BF190" s="4">
        <v>194.74704125900001</v>
      </c>
      <c r="BG190" s="4">
        <f t="shared" si="142"/>
        <v>28.008569950914143</v>
      </c>
      <c r="BH190" s="4">
        <f>Datos1[[#This Row],[Intereses]]/Datos1[[#This Row],[PIB nominal (miles de millones de G.)]]*100</f>
        <v>8.4127888467648695E-2</v>
      </c>
      <c r="BI190" s="4">
        <v>328.58773808299998</v>
      </c>
      <c r="BJ190" s="4">
        <v>440.15060186900001</v>
      </c>
      <c r="BK190" s="4">
        <v>44.464304812999998</v>
      </c>
      <c r="BL190" s="56">
        <f t="shared" si="192"/>
        <v>116.43722480999986</v>
      </c>
      <c r="BM190" s="56">
        <f>SUMIFS($BL$3:$BL190,$D$3:$D190,D190)</f>
        <v>1747.0939640059994</v>
      </c>
      <c r="BN190" s="56">
        <f t="shared" si="194"/>
        <v>2565.6888974860003</v>
      </c>
      <c r="BO190" s="100">
        <f t="shared" si="176"/>
        <v>-0.68904490179710609</v>
      </c>
      <c r="BP190" s="100">
        <f t="shared" si="177"/>
        <v>-0.18053302101909396</v>
      </c>
      <c r="BQ190" s="100">
        <f t="shared" si="185"/>
        <v>-9.1818510538184461E-2</v>
      </c>
      <c r="BR190" s="2">
        <f t="shared" si="144"/>
        <v>5.0299187083775593E-2</v>
      </c>
      <c r="BS190" s="2">
        <f>+Datos1[[#This Row],[RON acumulado 12 meses]]/Datos1[[#This Row],[PIB nominal (miles de millones de G.)]]*100</f>
        <v>1.1083402757494354</v>
      </c>
      <c r="BT190" s="56">
        <v>315.215678938</v>
      </c>
      <c r="BU190" s="56">
        <f>SUMIFS($BT$3:$BT190,$D$3:$D190,D190)</f>
        <v>2840.7746761429999</v>
      </c>
      <c r="BV190" s="56">
        <f t="shared" si="164"/>
        <v>5073.1260413099999</v>
      </c>
      <c r="BW190" s="100">
        <f t="shared" si="178"/>
        <v>-0.4220025004353235</v>
      </c>
      <c r="BX190" s="100">
        <f t="shared" si="179"/>
        <v>-8.5457752135619902E-2</v>
      </c>
      <c r="BY190" s="100">
        <f t="shared" si="186"/>
        <v>-4.5588887938545763E-3</v>
      </c>
      <c r="BZ190" s="56">
        <f t="shared" si="145"/>
        <v>45.334400646519995</v>
      </c>
      <c r="CA190" s="56">
        <f>Datos1[[#This Row],[Adquisición Neta de Activos no Financieros]]/Datos1[[#This Row],[PIB nominal (miles de millones de G.)]]*100</f>
        <v>0.1361685872581887</v>
      </c>
      <c r="CB190" s="56">
        <f>+Datos1[[#This Row],[ANANF acumulado por año]]/Datos1[[#This Row],[PIB nominal (miles de millones de G.)]]*100</f>
        <v>1.2271733299323464</v>
      </c>
      <c r="CC190" s="56">
        <f>+Datos1[[#This Row],[ANANF acumulado 12 meses]]/Datos1[[#This Row],[PIB nominal (miles de millones de G.)]]*100</f>
        <v>2.1915166414161278</v>
      </c>
      <c r="CD190" s="4">
        <v>181.22081352000001</v>
      </c>
      <c r="CE190" s="4">
        <f t="shared" si="146"/>
        <v>26.063224371589357</v>
      </c>
      <c r="CF190" s="4">
        <f t="shared" si="147"/>
        <v>133.99486541799999</v>
      </c>
      <c r="CG190" s="4">
        <f t="shared" si="148"/>
        <v>19.271176274930639</v>
      </c>
      <c r="CH190" s="56">
        <f t="shared" si="149"/>
        <v>-198.77845412800013</v>
      </c>
      <c r="CI190" s="56">
        <f>SUMIFS($CH$3:$CH190,$D$3:$D190,D190)</f>
        <v>-1093.6807121370007</v>
      </c>
      <c r="CJ190" s="56">
        <f t="shared" si="195"/>
        <v>-2507.437143824</v>
      </c>
      <c r="CK190" s="56">
        <f>Datos1[[#This Row],[Resultado Fiscal (miles de millones de G.)]]*1000/$F$207</f>
        <v>-28.588368794647213</v>
      </c>
      <c r="CL190" s="56">
        <f t="shared" si="165"/>
        <v>-360.62025993459997</v>
      </c>
      <c r="CM190" s="100">
        <f t="shared" si="180"/>
        <v>0.16307338311100938</v>
      </c>
      <c r="CN190" s="100">
        <f t="shared" si="181"/>
        <v>0.12260173496947502</v>
      </c>
      <c r="CO190" s="100">
        <f t="shared" si="187"/>
        <v>0.10397735436946443</v>
      </c>
      <c r="CP190" s="4">
        <f t="shared" si="150"/>
        <v>-8.5869400174413121E-2</v>
      </c>
      <c r="CQ190" s="4">
        <f t="shared" si="196"/>
        <v>-1.0831763656666926</v>
      </c>
      <c r="CR190" s="73">
        <v>1252.1376052119999</v>
      </c>
      <c r="CS190" s="113">
        <f>SUM(Datos1[[#This Row],[FFPP]:[MTESS]])</f>
        <v>0</v>
      </c>
      <c r="CT190" s="113"/>
      <c r="CU190" s="113"/>
      <c r="CV190" s="113"/>
      <c r="CW190" s="113"/>
      <c r="CX190" s="113"/>
      <c r="CY190" s="113"/>
      <c r="CZ190" s="113"/>
    </row>
    <row r="191" spans="1:104">
      <c r="A191">
        <v>189</v>
      </c>
      <c r="B191" s="3">
        <v>43344</v>
      </c>
      <c r="C191" s="14" t="str">
        <f t="shared" si="132"/>
        <v>Septiembre</v>
      </c>
      <c r="D191" s="14">
        <f t="shared" si="151"/>
        <v>2018</v>
      </c>
      <c r="E191" s="15">
        <f t="shared" si="133"/>
        <v>231489.27758229643</v>
      </c>
      <c r="F191" s="15">
        <f t="shared" si="191"/>
        <v>5732.1045649777852</v>
      </c>
      <c r="G191" s="56">
        <v>3026.0649021610002</v>
      </c>
      <c r="H191" s="4">
        <f t="shared" si="152"/>
        <v>1.3072160118021916</v>
      </c>
      <c r="I191" s="4">
        <f>SUMIFS($G$3:$G191,$D$3:$D191,D191)</f>
        <v>24052.684679348004</v>
      </c>
      <c r="J191" s="2">
        <f t="shared" si="159"/>
        <v>32733.593270917001</v>
      </c>
      <c r="K191" s="95">
        <f t="shared" si="166"/>
        <v>7.3093145002416593E-2</v>
      </c>
      <c r="L191" s="95">
        <f t="shared" si="167"/>
        <v>9.3248248653162502E-2</v>
      </c>
      <c r="M191" s="95">
        <f t="shared" si="182"/>
        <v>8.4861307810718323E-2</v>
      </c>
      <c r="N191" s="4">
        <v>2137.6591953810002</v>
      </c>
      <c r="O191" s="4">
        <f t="shared" si="135"/>
        <v>0.92343767180362979</v>
      </c>
      <c r="P191" s="4">
        <f>SUMIFS($N$3:$N191,$D$3:$D191,D191)</f>
        <v>17443.051588274</v>
      </c>
      <c r="Q191" s="4">
        <f t="shared" si="193"/>
        <v>23016.333075661998</v>
      </c>
      <c r="R191" s="97">
        <f t="shared" si="168"/>
        <v>2.8205514923747455E-2</v>
      </c>
      <c r="S191" s="97">
        <f t="shared" si="169"/>
        <v>7.9597406493861378E-2</v>
      </c>
      <c r="T191" s="97">
        <f t="shared" si="183"/>
        <v>8.6081923752497236E-2</v>
      </c>
      <c r="U191" s="4">
        <v>1268.4632720890002</v>
      </c>
      <c r="V191" s="4">
        <f t="shared" si="160"/>
        <v>12729.770654445001</v>
      </c>
      <c r="W191" s="97">
        <f t="shared" si="188"/>
        <v>2.8783638807680978E-2</v>
      </c>
      <c r="X191" s="97">
        <f t="shared" si="170"/>
        <v>-1.5293510131320631E-2</v>
      </c>
      <c r="Y191" s="4">
        <v>886.54802581999991</v>
      </c>
      <c r="Z191" s="4">
        <f t="shared" si="161"/>
        <v>10177.433501078001</v>
      </c>
      <c r="AA191" s="97">
        <f t="shared" si="189"/>
        <v>0.15086768972774056</v>
      </c>
      <c r="AB191" s="97">
        <f t="shared" si="171"/>
        <v>5.3360856477746132E-2</v>
      </c>
      <c r="AC191" s="4">
        <v>209.24210885799999</v>
      </c>
      <c r="AD191" s="4">
        <f t="shared" si="136"/>
        <v>9.0389546783052457E-2</v>
      </c>
      <c r="AE191" s="4">
        <v>298.94139512300001</v>
      </c>
      <c r="AF191" s="4">
        <f t="shared" si="137"/>
        <v>0.12913833342312098</v>
      </c>
      <c r="AG191" s="4">
        <v>380.22220279899994</v>
      </c>
      <c r="AH191" s="4">
        <f t="shared" si="138"/>
        <v>66.332042357024505</v>
      </c>
      <c r="AI191" s="4">
        <v>254.59643001200001</v>
      </c>
      <c r="AJ191" s="4">
        <f t="shared" si="139"/>
        <v>36.616124553905507</v>
      </c>
      <c r="AK191" s="101">
        <f>SUMIFS($AJ$3:$AJ191,$D$3:$D191,D191)</f>
        <v>346.16985531926412</v>
      </c>
      <c r="AL191" s="4">
        <v>0</v>
      </c>
      <c r="AM191" s="4">
        <f t="shared" si="140"/>
        <v>0</v>
      </c>
      <c r="AN191" s="101">
        <f>SUMIFS($AM$3:$AM191,$D$3:$D191,D191)</f>
        <v>19.977809378998501</v>
      </c>
      <c r="AO191" s="4">
        <f t="shared" si="153"/>
        <v>125.62577278699993</v>
      </c>
      <c r="AP191" s="56">
        <v>2533.5896542499995</v>
      </c>
      <c r="AQ191" s="4">
        <f t="shared" si="141"/>
        <v>1.0944738696803296</v>
      </c>
      <c r="AR191" s="4">
        <f>SUMIFS($AP$3:$AP191,$D$3:$D191,D191)</f>
        <v>21813.115467431002</v>
      </c>
      <c r="AS191" s="4">
        <f t="shared" si="162"/>
        <v>30324.408617066998</v>
      </c>
      <c r="AT191" s="97">
        <f t="shared" si="172"/>
        <v>0.19566574606005838</v>
      </c>
      <c r="AU191" s="97">
        <f t="shared" si="173"/>
        <v>0.11102182242707448</v>
      </c>
      <c r="AV191" s="98">
        <f t="shared" si="197"/>
        <v>0.11604348323487157</v>
      </c>
      <c r="AW191" s="4">
        <v>1194.5995473919997</v>
      </c>
      <c r="AX191" s="4">
        <f>SUMIFS($AW$3:$AW191,$D$3:$D191,D191)</f>
        <v>10512.494860518</v>
      </c>
      <c r="AY191" s="4">
        <f t="shared" si="163"/>
        <v>14900.738141864998</v>
      </c>
      <c r="AZ191" s="97">
        <f t="shared" si="174"/>
        <v>0.12042022608148772</v>
      </c>
      <c r="BA191" s="97">
        <f t="shared" si="175"/>
        <v>0.10462457211410015</v>
      </c>
      <c r="BB191" s="97">
        <f t="shared" si="190"/>
        <v>9.618740749752086E-2</v>
      </c>
      <c r="BC191" s="4">
        <v>856.38663535399996</v>
      </c>
      <c r="BD191" s="4">
        <f t="shared" si="154"/>
        <v>338.21291203799979</v>
      </c>
      <c r="BE191" s="4">
        <v>243.49376062100001</v>
      </c>
      <c r="BF191" s="4">
        <v>211.68874921300002</v>
      </c>
      <c r="BG191" s="4">
        <f t="shared" si="142"/>
        <v>30.445130780028347</v>
      </c>
      <c r="BH191" s="4">
        <f>Datos1[[#This Row],[Intereses]]/Datos1[[#This Row],[PIB nominal (miles de millones de G.)]]*100</f>
        <v>9.1446459820473919E-2</v>
      </c>
      <c r="BI191" s="4">
        <v>327.10826591899996</v>
      </c>
      <c r="BJ191" s="4">
        <v>450.74842664199997</v>
      </c>
      <c r="BK191" s="4">
        <v>105.950904463</v>
      </c>
      <c r="BL191" s="56">
        <f t="shared" si="192"/>
        <v>492.47524791100068</v>
      </c>
      <c r="BM191" s="56">
        <f>SUMIFS($BL$3:$BL191,$D$3:$D191,D191)</f>
        <v>2239.5692119169998</v>
      </c>
      <c r="BN191" s="56">
        <f t="shared" si="194"/>
        <v>2409.1846538500004</v>
      </c>
      <c r="BO191" s="100">
        <f t="shared" si="176"/>
        <v>-0.24115437494478287</v>
      </c>
      <c r="BP191" s="100">
        <f t="shared" si="177"/>
        <v>-0.19467990052836526</v>
      </c>
      <c r="BQ191" s="100">
        <f t="shared" si="185"/>
        <v>-0.19739776533618447</v>
      </c>
      <c r="BR191" s="2">
        <f t="shared" si="144"/>
        <v>0.21274214212186199</v>
      </c>
      <c r="BS191" s="2">
        <f>+Datos1[[#This Row],[RON acumulado 12 meses]]/Datos1[[#This Row],[PIB nominal (miles de millones de G.)]]*100</f>
        <v>1.0407327194640861</v>
      </c>
      <c r="BT191" s="56">
        <v>230.88242492200001</v>
      </c>
      <c r="BU191" s="56">
        <f>SUMIFS($BT$3:$BT191,$D$3:$D191,D191)</f>
        <v>3071.657101065</v>
      </c>
      <c r="BV191" s="56">
        <f t="shared" si="164"/>
        <v>4872.7199643859994</v>
      </c>
      <c r="BW191" s="100">
        <f t="shared" si="178"/>
        <v>-0.46466825817572788</v>
      </c>
      <c r="BX191" s="100">
        <f t="shared" si="179"/>
        <v>-0.13169053582907853</v>
      </c>
      <c r="BY191" s="100">
        <f t="shared" si="186"/>
        <v>-5.611982652747538E-2</v>
      </c>
      <c r="BZ191" s="56">
        <f t="shared" si="145"/>
        <v>33.205570195360643</v>
      </c>
      <c r="CA191" s="56">
        <f>Datos1[[#This Row],[Adquisición Neta de Activos no Financieros]]/Datos1[[#This Row],[PIB nominal (miles de millones de G.)]]*100</f>
        <v>9.9737848479793764E-2</v>
      </c>
      <c r="CB191" s="56">
        <f>+Datos1[[#This Row],[ANANF acumulado por año]]/Datos1[[#This Row],[PIB nominal (miles de millones de G.)]]*100</f>
        <v>1.3269111784121403</v>
      </c>
      <c r="CC191" s="56">
        <f>+Datos1[[#This Row],[ANANF acumulado 12 meses]]/Datos1[[#This Row],[PIB nominal (miles de millones de G.)]]*100</f>
        <v>2.1049441318739719</v>
      </c>
      <c r="CD191" s="4">
        <v>129.363050458</v>
      </c>
      <c r="CE191" s="4">
        <f t="shared" si="146"/>
        <v>18.60502744685002</v>
      </c>
      <c r="CF191" s="4">
        <f t="shared" si="147"/>
        <v>101.51937446400001</v>
      </c>
      <c r="CG191" s="4">
        <f t="shared" si="148"/>
        <v>14.60054274851062</v>
      </c>
      <c r="CH191" s="56">
        <f t="shared" si="149"/>
        <v>261.59282298900064</v>
      </c>
      <c r="CI191" s="56">
        <f>SUMIFS($CH$3:$CH191,$D$3:$D191,D191)</f>
        <v>-832.08788914800004</v>
      </c>
      <c r="CJ191" s="56">
        <f t="shared" si="195"/>
        <v>-2463.535310536</v>
      </c>
      <c r="CK191" s="56">
        <f>Datos1[[#This Row],[Resultado Fiscal (miles de millones de G.)]]*1000/$F$207</f>
        <v>37.622347605272921</v>
      </c>
      <c r="CL191" s="56">
        <f t="shared" si="165"/>
        <v>-354.30628689207765</v>
      </c>
      <c r="CM191" s="100">
        <f t="shared" si="180"/>
        <v>0.20167041983822753</v>
      </c>
      <c r="CN191" s="100">
        <f t="shared" si="181"/>
        <v>9.9850271654714717E-2</v>
      </c>
      <c r="CO191" s="100">
        <f t="shared" si="187"/>
        <v>0.14014657999256586</v>
      </c>
      <c r="CP191" s="4">
        <f t="shared" si="150"/>
        <v>0.11300429364206821</v>
      </c>
      <c r="CQ191" s="4">
        <f t="shared" si="196"/>
        <v>-1.0642114124098867</v>
      </c>
      <c r="CR191" s="73">
        <v>1289.6528989210001</v>
      </c>
      <c r="CS191" s="113">
        <f>SUM(Datos1[[#This Row],[FFPP]:[MTESS]])</f>
        <v>0</v>
      </c>
      <c r="CT191" s="113"/>
      <c r="CU191" s="113"/>
      <c r="CV191" s="113"/>
      <c r="CW191" s="113"/>
      <c r="CX191" s="113"/>
      <c r="CY191" s="113"/>
      <c r="CZ191" s="113"/>
    </row>
    <row r="192" spans="1:104">
      <c r="A192">
        <v>190</v>
      </c>
      <c r="B192" s="3">
        <v>43374</v>
      </c>
      <c r="C192" s="14" t="str">
        <f t="shared" si="132"/>
        <v>Octubre</v>
      </c>
      <c r="D192" s="14">
        <f t="shared" si="151"/>
        <v>2018</v>
      </c>
      <c r="E192" s="15">
        <f t="shared" si="133"/>
        <v>231489.27758229643</v>
      </c>
      <c r="F192" s="15">
        <f t="shared" si="191"/>
        <v>5732.1045649777852</v>
      </c>
      <c r="G192" s="56">
        <v>2674.732613873</v>
      </c>
      <c r="H192" s="4">
        <f t="shared" si="152"/>
        <v>1.1554455747619281</v>
      </c>
      <c r="I192" s="4">
        <f>SUMIFS($G$3:$G192,$D$3:$D192,D192)</f>
        <v>26727.417293221002</v>
      </c>
      <c r="J192" s="2">
        <f t="shared" si="159"/>
        <v>32928.790440194003</v>
      </c>
      <c r="K192" s="95">
        <f t="shared" si="166"/>
        <v>7.3653930335025652E-2</v>
      </c>
      <c r="L192" s="95">
        <f t="shared" si="167"/>
        <v>7.8723282501333314E-2</v>
      </c>
      <c r="M192" s="95">
        <f t="shared" si="182"/>
        <v>7.8957625288208044E-2</v>
      </c>
      <c r="N192" s="4">
        <v>1921.410220621</v>
      </c>
      <c r="O192" s="4">
        <f t="shared" si="135"/>
        <v>0.83002126089314099</v>
      </c>
      <c r="P192" s="4">
        <f>SUMIFS($N$3:$N192,$D$3:$D192,D192)</f>
        <v>19364.461808895001</v>
      </c>
      <c r="Q192" s="4">
        <f t="shared" si="193"/>
        <v>23156.727310763999</v>
      </c>
      <c r="R192" s="97">
        <f t="shared" si="168"/>
        <v>7.8828172371000704E-2</v>
      </c>
      <c r="S192" s="97">
        <f t="shared" si="169"/>
        <v>7.9521031351098781E-2</v>
      </c>
      <c r="T192" s="97">
        <f t="shared" si="183"/>
        <v>7.7816807368449759E-2</v>
      </c>
      <c r="U192" s="4">
        <v>940.17275429699987</v>
      </c>
      <c r="V192" s="4">
        <f t="shared" si="160"/>
        <v>12747.069522251</v>
      </c>
      <c r="W192" s="97">
        <f t="shared" si="188"/>
        <v>2.3545959841858588E-2</v>
      </c>
      <c r="X192" s="97">
        <f t="shared" si="170"/>
        <v>1.8744563107939261E-2</v>
      </c>
      <c r="Y192" s="4">
        <v>980.93725689600012</v>
      </c>
      <c r="Z192" s="4">
        <f t="shared" si="161"/>
        <v>10303.099613371001</v>
      </c>
      <c r="AA192" s="97">
        <f t="shared" si="189"/>
        <v>0.14236250742306877</v>
      </c>
      <c r="AB192" s="97">
        <f t="shared" si="171"/>
        <v>0.14693131305316265</v>
      </c>
      <c r="AC192" s="4">
        <v>217.10297551399998</v>
      </c>
      <c r="AD192" s="4">
        <f t="shared" si="136"/>
        <v>9.3785326811440764E-2</v>
      </c>
      <c r="AE192" s="4">
        <v>70.324045011999985</v>
      </c>
      <c r="AF192" s="4">
        <f t="shared" si="137"/>
        <v>3.0378964307320531E-2</v>
      </c>
      <c r="AG192" s="4">
        <v>465.89537272599995</v>
      </c>
      <c r="AH192" s="4">
        <f t="shared" si="138"/>
        <v>81.278240381821362</v>
      </c>
      <c r="AI192" s="4">
        <v>281.18737092899994</v>
      </c>
      <c r="AJ192" s="4">
        <f t="shared" si="139"/>
        <v>40.440440568770761</v>
      </c>
      <c r="AK192" s="101">
        <f>SUMIFS($AJ$3:$AJ192,$D$3:$D192,D192)</f>
        <v>386.6102958880349</v>
      </c>
      <c r="AL192" s="4">
        <v>0</v>
      </c>
      <c r="AM192" s="4">
        <f t="shared" si="140"/>
        <v>0</v>
      </c>
      <c r="AN192" s="101">
        <f>SUMIFS($AM$3:$AM192,$D$3:$D192,D192)</f>
        <v>19.977809378998501</v>
      </c>
      <c r="AO192" s="4">
        <f t="shared" si="153"/>
        <v>184.70800179700001</v>
      </c>
      <c r="AP192" s="56">
        <v>2539.8919276819997</v>
      </c>
      <c r="AQ192" s="4">
        <f t="shared" si="141"/>
        <v>1.0971963601117751</v>
      </c>
      <c r="AR192" s="4">
        <f>SUMIFS($AP$3:$AP192,$D$3:$D192,D192)</f>
        <v>24353.007395113003</v>
      </c>
      <c r="AS192" s="4">
        <f t="shared" si="162"/>
        <v>30446.088635911001</v>
      </c>
      <c r="AT192" s="97">
        <f t="shared" si="172"/>
        <v>5.0318178650633705E-2</v>
      </c>
      <c r="AU192" s="97">
        <f t="shared" si="173"/>
        <v>0.10436496681884044</v>
      </c>
      <c r="AV192" s="98">
        <f t="shared" si="197"/>
        <v>0.10815408752270361</v>
      </c>
      <c r="AW192" s="4">
        <v>1172.0341604689997</v>
      </c>
      <c r="AX192" s="4">
        <f>SUMIFS($AW$3:$AW192,$D$3:$D192,D192)</f>
        <v>11684.529020987</v>
      </c>
      <c r="AY192" s="4">
        <f t="shared" si="163"/>
        <v>14989.535404819</v>
      </c>
      <c r="AZ192" s="97">
        <f t="shared" si="174"/>
        <v>8.1974001400529684E-2</v>
      </c>
      <c r="BA192" s="97">
        <f t="shared" si="175"/>
        <v>0.10230987015953574</v>
      </c>
      <c r="BB192" s="97">
        <f t="shared" si="190"/>
        <v>9.7807990617531981E-2</v>
      </c>
      <c r="BC192" s="4">
        <v>848.02648438599999</v>
      </c>
      <c r="BD192" s="4">
        <f t="shared" si="154"/>
        <v>324.00767608299975</v>
      </c>
      <c r="BE192" s="4">
        <v>253.82181947399999</v>
      </c>
      <c r="BF192" s="4">
        <v>150.37004557200001</v>
      </c>
      <c r="BG192" s="4">
        <f t="shared" si="142"/>
        <v>21.62625892900888</v>
      </c>
      <c r="BH192" s="4">
        <f>Datos1[[#This Row],[Intereses]]/Datos1[[#This Row],[PIB nominal (miles de millones de G.)]]*100</f>
        <v>6.4957671967567548E-2</v>
      </c>
      <c r="BI192" s="4">
        <v>426.20805327900001</v>
      </c>
      <c r="BJ192" s="4">
        <v>440.57357561400005</v>
      </c>
      <c r="BK192" s="4">
        <v>96.884273274000009</v>
      </c>
      <c r="BL192" s="56">
        <f t="shared" si="192"/>
        <v>134.84068619100026</v>
      </c>
      <c r="BM192" s="56">
        <f>SUMIFS($BL$3:$BL192,$D$3:$D192,D192)</f>
        <v>2374.4098981080001</v>
      </c>
      <c r="BN192" s="56">
        <f t="shared" si="194"/>
        <v>2482.701804283</v>
      </c>
      <c r="BO192" s="100">
        <f t="shared" si="176"/>
        <v>1.1988406983432651</v>
      </c>
      <c r="BP192" s="100">
        <f t="shared" si="177"/>
        <v>-0.16461415350476005</v>
      </c>
      <c r="BQ192" s="100">
        <f t="shared" si="185"/>
        <v>-0.18452302597367165</v>
      </c>
      <c r="BR192" s="2">
        <f t="shared" si="144"/>
        <v>5.8249214650152953E-2</v>
      </c>
      <c r="BS192" s="2">
        <f>+Datos1[[#This Row],[RON acumulado 12 meses]]/Datos1[[#This Row],[PIB nominal (miles de millones de G.)]]*100</f>
        <v>1.0724910588570902</v>
      </c>
      <c r="BT192" s="56">
        <v>323.48479920800003</v>
      </c>
      <c r="BU192" s="56">
        <f>SUMIFS($BT$3:$BT192,$D$3:$D192,D192)</f>
        <v>3395.1419002729999</v>
      </c>
      <c r="BV192" s="56">
        <f t="shared" si="164"/>
        <v>4724.874877409</v>
      </c>
      <c r="BW192" s="100">
        <f t="shared" si="178"/>
        <v>-0.31367645318160431</v>
      </c>
      <c r="BX192" s="100">
        <f t="shared" si="179"/>
        <v>-0.15308707778599306</v>
      </c>
      <c r="BY192" s="100">
        <f t="shared" si="186"/>
        <v>-6.7761755358428433E-2</v>
      </c>
      <c r="BZ192" s="56">
        <f t="shared" si="145"/>
        <v>46.523667667048421</v>
      </c>
      <c r="CA192" s="56">
        <f>Datos1[[#This Row],[Adquisición Neta de Activos no Financieros]]/Datos1[[#This Row],[PIB nominal (miles de millones de G.)]]*100</f>
        <v>0.1397407269081819</v>
      </c>
      <c r="CB192" s="56">
        <f>+Datos1[[#This Row],[ANANF acumulado por año]]/Datos1[[#This Row],[PIB nominal (miles de millones de G.)]]*100</f>
        <v>1.466651905320322</v>
      </c>
      <c r="CC192" s="56">
        <f>+Datos1[[#This Row],[ANANF acumulado 12 meses]]/Datos1[[#This Row],[PIB nominal (miles de millones de G.)]]*100</f>
        <v>2.0410772052840618</v>
      </c>
      <c r="CD192" s="4">
        <v>197.988581278</v>
      </c>
      <c r="CE192" s="4">
        <f t="shared" si="146"/>
        <v>28.474769076630782</v>
      </c>
      <c r="CF192" s="4">
        <f t="shared" si="147"/>
        <v>125.49621793000003</v>
      </c>
      <c r="CG192" s="4">
        <f t="shared" si="148"/>
        <v>18.04889859041764</v>
      </c>
      <c r="CH192" s="56">
        <f t="shared" si="149"/>
        <v>-188.64411301699977</v>
      </c>
      <c r="CI192" s="56">
        <f>SUMIFS($CH$3:$CH192,$D$3:$D192,D192)</f>
        <v>-1020.7320021649998</v>
      </c>
      <c r="CJ192" s="56">
        <f t="shared" si="195"/>
        <v>-2242.1730731260004</v>
      </c>
      <c r="CK192" s="56">
        <f>Datos1[[#This Row],[Resultado Fiscal (miles de millones de G.)]]*1000/$F$207</f>
        <v>-27.130845229314172</v>
      </c>
      <c r="CL192" s="56">
        <f t="shared" si="165"/>
        <v>-322.46991253225764</v>
      </c>
      <c r="CM192" s="100">
        <f t="shared" si="180"/>
        <v>-0.53989953370103394</v>
      </c>
      <c r="CN192" s="100">
        <f t="shared" si="181"/>
        <v>-0.12500150389433984</v>
      </c>
      <c r="CO192" s="100">
        <f t="shared" si="187"/>
        <v>0.1078836001395318</v>
      </c>
      <c r="CP192" s="4">
        <f t="shared" si="150"/>
        <v>-8.1491512258028947E-2</v>
      </c>
      <c r="CQ192" s="4">
        <f t="shared" si="196"/>
        <v>-0.96858614642697149</v>
      </c>
      <c r="CR192" s="73">
        <v>1259.3629897789999</v>
      </c>
      <c r="CS192" s="113">
        <f>SUM(Datos1[[#This Row],[FFPP]:[MTESS]])</f>
        <v>0</v>
      </c>
      <c r="CT192" s="113"/>
      <c r="CU192" s="113"/>
      <c r="CV192" s="113"/>
      <c r="CW192" s="113"/>
      <c r="CX192" s="113"/>
      <c r="CY192" s="113"/>
      <c r="CZ192" s="113"/>
    </row>
    <row r="193" spans="1:104">
      <c r="A193">
        <v>191</v>
      </c>
      <c r="B193" s="3">
        <v>43405</v>
      </c>
      <c r="C193" s="14" t="str">
        <f t="shared" si="132"/>
        <v>Noviembre</v>
      </c>
      <c r="D193" s="14">
        <f t="shared" si="151"/>
        <v>2018</v>
      </c>
      <c r="E193" s="15">
        <f t="shared" si="133"/>
        <v>231489.27758229643</v>
      </c>
      <c r="F193" s="15">
        <f t="shared" si="191"/>
        <v>5732.1045649777852</v>
      </c>
      <c r="G193" s="56">
        <v>3087.3055812719999</v>
      </c>
      <c r="H193" s="4">
        <f t="shared" si="152"/>
        <v>1.3336710941933094</v>
      </c>
      <c r="I193" s="4">
        <f>SUMIFS($G$3:$G193,$D$3:$D193,D193)</f>
        <v>29814.722874493003</v>
      </c>
      <c r="J193" s="2">
        <f t="shared" si="159"/>
        <v>33212.864613172998</v>
      </c>
      <c r="K193" s="95">
        <f t="shared" si="166"/>
        <v>7.6455852435544758E-2</v>
      </c>
      <c r="L193" s="95">
        <f t="shared" si="167"/>
        <v>0.1013381100606261</v>
      </c>
      <c r="M193" s="95">
        <f t="shared" si="182"/>
        <v>8.5495277568976791E-2</v>
      </c>
      <c r="N193" s="4">
        <v>2181.2215812110003</v>
      </c>
      <c r="O193" s="4">
        <f t="shared" si="135"/>
        <v>0.94225598869716853</v>
      </c>
      <c r="P193" s="4">
        <f>SUMIFS($N$3:$N193,$D$3:$D193,D193)</f>
        <v>21545.683390106002</v>
      </c>
      <c r="Q193" s="4">
        <f t="shared" si="193"/>
        <v>23284.541097731002</v>
      </c>
      <c r="R193" s="97">
        <f t="shared" si="168"/>
        <v>6.2244716965271563E-2</v>
      </c>
      <c r="S193" s="97">
        <f t="shared" si="169"/>
        <v>7.7746504178745734E-2</v>
      </c>
      <c r="T193" s="97">
        <f t="shared" si="183"/>
        <v>7.0997866070074078E-2</v>
      </c>
      <c r="U193" s="4">
        <v>1218.9186228540002</v>
      </c>
      <c r="V193" s="4">
        <f t="shared" si="160"/>
        <v>12795.066641697002</v>
      </c>
      <c r="W193" s="97">
        <f t="shared" si="188"/>
        <v>2.125242470907418E-2</v>
      </c>
      <c r="X193" s="97">
        <f t="shared" si="170"/>
        <v>4.099089418573576E-2</v>
      </c>
      <c r="Y193" s="4">
        <v>911.435042436</v>
      </c>
      <c r="Z193" s="4">
        <f t="shared" si="161"/>
        <v>10356.682409640001</v>
      </c>
      <c r="AA193" s="97">
        <f t="shared" si="189"/>
        <v>0.13333327752662139</v>
      </c>
      <c r="AB193" s="97">
        <f t="shared" si="171"/>
        <v>6.2461567838068888E-2</v>
      </c>
      <c r="AC193" s="4">
        <v>279.72206354499997</v>
      </c>
      <c r="AD193" s="4">
        <f t="shared" si="136"/>
        <v>0.1208358618016579</v>
      </c>
      <c r="AE193" s="4">
        <v>92.905984015000001</v>
      </c>
      <c r="AF193" s="4">
        <f t="shared" si="137"/>
        <v>4.0134033414126975E-2</v>
      </c>
      <c r="AG193" s="4">
        <v>533.45595250100007</v>
      </c>
      <c r="AH193" s="4">
        <f t="shared" si="138"/>
        <v>93.06458848645714</v>
      </c>
      <c r="AI193" s="4">
        <v>255.91459210999997</v>
      </c>
      <c r="AJ193" s="4">
        <f t="shared" si="139"/>
        <v>36.805702968498075</v>
      </c>
      <c r="AK193" s="101">
        <f>SUMIFS($AJ$3:$AJ193,$D$3:$D193,D193)</f>
        <v>423.41599885653295</v>
      </c>
      <c r="AL193" s="4">
        <v>127.150814</v>
      </c>
      <c r="AM193" s="4">
        <f t="shared" si="140"/>
        <v>18.286863026064541</v>
      </c>
      <c r="AN193" s="101">
        <f>SUMIFS($AM$3:$AM193,$D$3:$D193,D193)</f>
        <v>38.264672405063038</v>
      </c>
      <c r="AO193" s="4">
        <f t="shared" si="153"/>
        <v>150.39054639100013</v>
      </c>
      <c r="AP193" s="56">
        <v>2514.5113322080001</v>
      </c>
      <c r="AQ193" s="4">
        <f t="shared" si="141"/>
        <v>1.0862323121268844</v>
      </c>
      <c r="AR193" s="4">
        <f>SUMIFS($AP$3:$AP193,$D$3:$D193,D193)</f>
        <v>26867.518727321003</v>
      </c>
      <c r="AS193" s="4">
        <f t="shared" si="162"/>
        <v>30684.755246220004</v>
      </c>
      <c r="AT193" s="97">
        <f t="shared" si="172"/>
        <v>0.10486946144104814</v>
      </c>
      <c r="AU193" s="97">
        <f t="shared" si="173"/>
        <v>0.10441216255764618</v>
      </c>
      <c r="AV193" s="98">
        <f t="shared" si="197"/>
        <v>0.1050502638730535</v>
      </c>
      <c r="AW193" s="4">
        <v>1198.922447182</v>
      </c>
      <c r="AX193" s="4">
        <f>SUMIFS($AW$3:$AW193,$D$3:$D193,D193)</f>
        <v>12883.451468169</v>
      </c>
      <c r="AY193" s="4">
        <f t="shared" si="163"/>
        <v>15053.085742391002</v>
      </c>
      <c r="AZ193" s="97">
        <f t="shared" si="174"/>
        <v>5.5973136061823414E-2</v>
      </c>
      <c r="BA193" s="97">
        <f t="shared" si="175"/>
        <v>9.7826905793769736E-2</v>
      </c>
      <c r="BB193" s="97">
        <f t="shared" si="190"/>
        <v>9.3507004019557804E-2</v>
      </c>
      <c r="BC193" s="4">
        <v>868.23971515400001</v>
      </c>
      <c r="BD193" s="4">
        <f t="shared" si="154"/>
        <v>330.68273202800003</v>
      </c>
      <c r="BE193" s="4">
        <v>257.73335378499996</v>
      </c>
      <c r="BF193" s="4">
        <v>120.16899232599999</v>
      </c>
      <c r="BG193" s="4">
        <f t="shared" si="142"/>
        <v>17.282735623271456</v>
      </c>
      <c r="BH193" s="4">
        <f>Datos1[[#This Row],[Intereses]]/Datos1[[#This Row],[PIB nominal (miles de millones de G.)]]*100</f>
        <v>5.1911256357555856E-2</v>
      </c>
      <c r="BI193" s="4">
        <v>435.11202976600003</v>
      </c>
      <c r="BJ193" s="4">
        <v>459.19078236499996</v>
      </c>
      <c r="BK193" s="4">
        <v>43.383726784000004</v>
      </c>
      <c r="BL193" s="56">
        <f t="shared" si="192"/>
        <v>572.79424906399981</v>
      </c>
      <c r="BM193" s="56">
        <f>SUMIFS($BL$3:$BL193,$D$3:$D193,D193)</f>
        <v>2947.2041471719999</v>
      </c>
      <c r="BN193" s="56">
        <f t="shared" si="194"/>
        <v>2528.1093669529992</v>
      </c>
      <c r="BO193" s="100">
        <f t="shared" si="176"/>
        <v>8.6099182708750721E-2</v>
      </c>
      <c r="BP193" s="100">
        <f t="shared" si="177"/>
        <v>-0.12537512907767245</v>
      </c>
      <c r="BQ193" s="100">
        <f t="shared" si="185"/>
        <v>-0.1064295240203752</v>
      </c>
      <c r="BR193" s="2">
        <f t="shared" si="144"/>
        <v>0.24743878206642489</v>
      </c>
      <c r="BS193" s="2">
        <f>+Datos1[[#This Row],[RON acumulado 12 meses]]/Datos1[[#This Row],[PIB nominal (miles de millones de G.)]]*100</f>
        <v>1.0921064653002057</v>
      </c>
      <c r="BT193" s="56">
        <v>445.48065582699996</v>
      </c>
      <c r="BU193" s="56">
        <f>SUMIFS($BT$3:$BT193,$D$3:$D193,D193)</f>
        <v>3840.6225561000001</v>
      </c>
      <c r="BV193" s="56">
        <f t="shared" si="164"/>
        <v>4656.9901044500011</v>
      </c>
      <c r="BW193" s="100">
        <f t="shared" si="178"/>
        <v>-0.13223479640912505</v>
      </c>
      <c r="BX193" s="100">
        <f t="shared" si="179"/>
        <v>-0.15071990744117669</v>
      </c>
      <c r="BY193" s="100">
        <f t="shared" si="186"/>
        <v>-9.9613166206182546E-2</v>
      </c>
      <c r="BZ193" s="56">
        <f t="shared" si="145"/>
        <v>64.06914338644934</v>
      </c>
      <c r="CA193" s="56">
        <f>Datos1[[#This Row],[Adquisición Neta de Activos no Financieros]]/Datos1[[#This Row],[PIB nominal (miles de millones de G.)]]*100</f>
        <v>0.19244116206143835</v>
      </c>
      <c r="CB193" s="56">
        <f>+Datos1[[#This Row],[ANANF acumulado por año]]/Datos1[[#This Row],[PIB nominal (miles de millones de G.)]]*100</f>
        <v>1.6590930673817605</v>
      </c>
      <c r="CC193" s="56">
        <f>+Datos1[[#This Row],[ANANF acumulado 12 meses]]/Datos1[[#This Row],[PIB nominal (miles de millones de G.)]]*100</f>
        <v>2.0117519710148999</v>
      </c>
      <c r="CD193" s="4">
        <v>252.55080875800002</v>
      </c>
      <c r="CE193" s="4">
        <f t="shared" si="146"/>
        <v>36.321922774944781</v>
      </c>
      <c r="CF193" s="4">
        <f t="shared" si="147"/>
        <v>192.92984706899995</v>
      </c>
      <c r="CG193" s="4">
        <f t="shared" si="148"/>
        <v>27.747220611504552</v>
      </c>
      <c r="CH193" s="56">
        <f t="shared" si="149"/>
        <v>127.31359323699985</v>
      </c>
      <c r="CI193" s="56">
        <f>SUMIFS($CH$3:$CH193,$D$3:$D193,D193)</f>
        <v>-893.41840892799996</v>
      </c>
      <c r="CJ193" s="56">
        <f t="shared" si="195"/>
        <v>-2128.8807374970011</v>
      </c>
      <c r="CK193" s="56">
        <f>Datos1[[#This Row],[Resultado Fiscal (miles de millones de G.)]]*1000/$F$207</f>
        <v>18.310273978121078</v>
      </c>
      <c r="CL193" s="56">
        <f t="shared" si="165"/>
        <v>-306.1761794575292</v>
      </c>
      <c r="CM193" s="100">
        <f t="shared" si="180"/>
        <v>8.080040948991341</v>
      </c>
      <c r="CN193" s="100">
        <f t="shared" si="181"/>
        <v>-0.22482090426232537</v>
      </c>
      <c r="CO193" s="100">
        <f t="shared" si="187"/>
        <v>-9.1382228379702335E-2</v>
      </c>
      <c r="CP193" s="4">
        <f t="shared" si="150"/>
        <v>5.4997620004986522E-2</v>
      </c>
      <c r="CQ193" s="4">
        <f t="shared" si="196"/>
        <v>-0.91964550571469372</v>
      </c>
      <c r="CR193" s="73">
        <v>1283.9337680159999</v>
      </c>
      <c r="CS193" s="113">
        <f>SUM(Datos1[[#This Row],[FFPP]:[MTESS]])</f>
        <v>0</v>
      </c>
      <c r="CT193" s="113"/>
      <c r="CU193" s="113"/>
      <c r="CV193" s="113"/>
      <c r="CW193" s="113"/>
      <c r="CX193" s="113"/>
      <c r="CY193" s="113"/>
      <c r="CZ193" s="113"/>
    </row>
    <row r="194" spans="1:104">
      <c r="A194">
        <v>192</v>
      </c>
      <c r="B194" s="3">
        <v>43435</v>
      </c>
      <c r="C194" s="14" t="str">
        <f t="shared" si="132"/>
        <v>Diciembre</v>
      </c>
      <c r="D194" s="14">
        <f t="shared" si="151"/>
        <v>2018</v>
      </c>
      <c r="E194" s="15">
        <f t="shared" si="133"/>
        <v>231489.27758229643</v>
      </c>
      <c r="F194" s="15">
        <f t="shared" si="191"/>
        <v>5732.1045649777852</v>
      </c>
      <c r="G194" s="56">
        <v>2719.2375421890001</v>
      </c>
      <c r="H194" s="4">
        <f t="shared" si="152"/>
        <v>1.1746710562964575</v>
      </c>
      <c r="I194" s="4">
        <f>SUMIFS($G$3:$G194,$D$3:$D194,D194)</f>
        <v>32533.960416682003</v>
      </c>
      <c r="J194" s="2">
        <f t="shared" si="159"/>
        <v>32533.960416682003</v>
      </c>
      <c r="K194" s="95">
        <f t="shared" si="166"/>
        <v>4.626758320182156E-2</v>
      </c>
      <c r="L194" s="95">
        <f t="shared" si="167"/>
        <v>-0.19978689786928028</v>
      </c>
      <c r="M194" s="95">
        <f t="shared" si="182"/>
        <v>4.626758320182156E-2</v>
      </c>
      <c r="N194" s="4">
        <v>1591.3879080030001</v>
      </c>
      <c r="O194" s="4">
        <f t="shared" si="135"/>
        <v>0.68745642330550194</v>
      </c>
      <c r="P194" s="4">
        <f>SUMIFS($N$3:$N194,$D$3:$D194,D194)</f>
        <v>23137.071298109004</v>
      </c>
      <c r="Q194" s="4">
        <f t="shared" si="193"/>
        <v>23137.071298109004</v>
      </c>
      <c r="R194" s="97">
        <f t="shared" si="168"/>
        <v>-8.4808434281503087E-2</v>
      </c>
      <c r="S194" s="97">
        <f t="shared" si="169"/>
        <v>6.4738851585758539E-2</v>
      </c>
      <c r="T194" s="97">
        <f t="shared" si="183"/>
        <v>6.4738851585758539E-2</v>
      </c>
      <c r="U194" s="4">
        <v>785.93894814700002</v>
      </c>
      <c r="V194" s="4">
        <f t="shared" si="160"/>
        <v>12780.192431102001</v>
      </c>
      <c r="W194" s="97">
        <f t="shared" si="188"/>
        <v>2.3976890789088934E-2</v>
      </c>
      <c r="X194" s="97">
        <f t="shared" si="170"/>
        <v>-1.8573883848719386E-2</v>
      </c>
      <c r="Y194" s="4">
        <v>819.65734203799991</v>
      </c>
      <c r="Z194" s="4">
        <f t="shared" si="161"/>
        <v>10300.880879675999</v>
      </c>
      <c r="AA194" s="97">
        <f t="shared" si="189"/>
        <v>0.11798773030361676</v>
      </c>
      <c r="AB194" s="97">
        <f t="shared" si="171"/>
        <v>-6.373975037387325E-2</v>
      </c>
      <c r="AC194" s="4">
        <v>343.36611379999999</v>
      </c>
      <c r="AD194" s="4">
        <f t="shared" si="136"/>
        <v>0.14832916556056483</v>
      </c>
      <c r="AE194" s="4">
        <v>173.88461293899999</v>
      </c>
      <c r="AF194" s="4">
        <f t="shared" si="137"/>
        <v>7.5115622958900341E-2</v>
      </c>
      <c r="AG194" s="4">
        <v>610.59890744699999</v>
      </c>
      <c r="AH194" s="4">
        <f t="shared" si="138"/>
        <v>106.52263937710745</v>
      </c>
      <c r="AI194" s="4">
        <v>303.37295637</v>
      </c>
      <c r="AJ194" s="4">
        <f t="shared" si="139"/>
        <v>43.631177217240968</v>
      </c>
      <c r="AK194" s="101">
        <f>SUMIFS($AJ$3:$AJ194,$D$3:$D194,D194)</f>
        <v>467.04717607377393</v>
      </c>
      <c r="AL194" s="4">
        <v>0</v>
      </c>
      <c r="AM194" s="4">
        <f t="shared" si="140"/>
        <v>0</v>
      </c>
      <c r="AN194" s="101">
        <f>SUMIFS($AM$3:$AM194,$D$3:$D194,D194)</f>
        <v>38.264672405063038</v>
      </c>
      <c r="AO194" s="4">
        <f t="shared" si="153"/>
        <v>307.22595107699999</v>
      </c>
      <c r="AP194" s="56">
        <v>3955.615517536</v>
      </c>
      <c r="AQ194" s="4">
        <f t="shared" si="141"/>
        <v>1.708768353700419</v>
      </c>
      <c r="AR194" s="4">
        <f>SUMIFS($AP$3:$AP194,$D$3:$D194,D194)</f>
        <v>30823.134244857003</v>
      </c>
      <c r="AS194" s="4">
        <f t="shared" si="162"/>
        <v>30823.134244857003</v>
      </c>
      <c r="AT194" s="97">
        <f t="shared" si="172"/>
        <v>3.6251093677819091E-2</v>
      </c>
      <c r="AU194" s="97">
        <f t="shared" si="173"/>
        <v>9.5167539086399078E-2</v>
      </c>
      <c r="AV194" s="98">
        <f t="shared" si="197"/>
        <v>9.5167539086399078E-2</v>
      </c>
      <c r="AW194" s="4">
        <v>2344.572490043</v>
      </c>
      <c r="AX194" s="4">
        <f>SUMIFS($AW$3:$AW194,$D$3:$D194,D194)</f>
        <v>15228.023958211999</v>
      </c>
      <c r="AY194" s="4">
        <f t="shared" si="163"/>
        <v>15228.023958211999</v>
      </c>
      <c r="AZ194" s="97">
        <f t="shared" si="174"/>
        <v>8.0630278521816701E-2</v>
      </c>
      <c r="BA194" s="97">
        <f t="shared" si="175"/>
        <v>9.5143679132156711E-2</v>
      </c>
      <c r="BB194" s="97">
        <f t="shared" si="190"/>
        <v>9.5143679132156711E-2</v>
      </c>
      <c r="BC194" s="4">
        <v>866.83475172700003</v>
      </c>
      <c r="BD194" s="4">
        <f t="shared" si="154"/>
        <v>1477.7377383160001</v>
      </c>
      <c r="BE194" s="4">
        <v>280.06759556100002</v>
      </c>
      <c r="BF194" s="4">
        <v>39.377769686000001</v>
      </c>
      <c r="BG194" s="4">
        <f t="shared" si="142"/>
        <v>5.6633210426777021</v>
      </c>
      <c r="BH194" s="4">
        <f>Datos1[[#This Row],[Intereses]]/Datos1[[#This Row],[PIB nominal (miles de millones de G.)]]*100</f>
        <v>1.7010623600914244E-2</v>
      </c>
      <c r="BI194" s="4">
        <v>555.39615908499991</v>
      </c>
      <c r="BJ194" s="4">
        <v>639.72748189099991</v>
      </c>
      <c r="BK194" s="4">
        <v>96.474021269999994</v>
      </c>
      <c r="BL194" s="56">
        <f t="shared" si="192"/>
        <v>-1236.3779753469998</v>
      </c>
      <c r="BM194" s="56">
        <f>SUMIFS($BL$3:$BL194,$D$3:$D194,D194)</f>
        <v>1710.8261718250001</v>
      </c>
      <c r="BN194" s="56">
        <f t="shared" si="194"/>
        <v>1710.8261718250001</v>
      </c>
      <c r="BO194" s="100">
        <f t="shared" si="176"/>
        <v>1.9501154242506247</v>
      </c>
      <c r="BP194" s="100">
        <f t="shared" si="177"/>
        <v>-0.42017354875351809</v>
      </c>
      <c r="BQ194" s="100">
        <f t="shared" si="185"/>
        <v>-0.42017354875351809</v>
      </c>
      <c r="BR194" s="2">
        <f t="shared" si="144"/>
        <v>-0.53409729740396161</v>
      </c>
      <c r="BS194" s="2">
        <f>+Datos1[[#This Row],[RON acumulado 12 meses]]/Datos1[[#This Row],[PIB nominal (miles de millones de G.)]]*100</f>
        <v>0.7390520155806295</v>
      </c>
      <c r="BT194" s="56">
        <v>847.364984703</v>
      </c>
      <c r="BU194" s="56">
        <f>SUMIFS($BT$3:$BT194,$D$3:$D194,D194)</f>
        <v>4687.9875408030002</v>
      </c>
      <c r="BV194" s="56">
        <f t="shared" si="164"/>
        <v>4687.9875408030002</v>
      </c>
      <c r="BW194" s="100">
        <f t="shared" si="178"/>
        <v>3.7969951666562807E-2</v>
      </c>
      <c r="BX194" s="100">
        <f t="shared" si="179"/>
        <v>-0.1218657250495081</v>
      </c>
      <c r="BY194" s="100">
        <f t="shared" si="186"/>
        <v>-0.1218657250495081</v>
      </c>
      <c r="BZ194" s="56">
        <f t="shared" si="145"/>
        <v>121.86825173094871</v>
      </c>
      <c r="CA194" s="56">
        <f>Datos1[[#This Row],[Adquisición Neta de Activos no Financieros]]/Datos1[[#This Row],[PIB nominal (miles de millones de G.)]]*100</f>
        <v>0.36604934515887222</v>
      </c>
      <c r="CB194" s="56">
        <f>+Datos1[[#This Row],[ANANF acumulado por año]]/Datos1[[#This Row],[PIB nominal (miles de millones de G.)]]*100</f>
        <v>2.025142412540633</v>
      </c>
      <c r="CC194" s="56">
        <f>+Datos1[[#This Row],[ANANF acumulado 12 meses]]/Datos1[[#This Row],[PIB nominal (miles de millones de G.)]]*100</f>
        <v>2.025142412540633</v>
      </c>
      <c r="CD194" s="4">
        <v>512.497986524</v>
      </c>
      <c r="CE194" s="4">
        <f t="shared" si="146"/>
        <v>73.707593257706236</v>
      </c>
      <c r="CF194" s="4">
        <f t="shared" si="147"/>
        <v>334.86699817900001</v>
      </c>
      <c r="CG194" s="4">
        <f t="shared" si="148"/>
        <v>48.160658473242471</v>
      </c>
      <c r="CH194" s="56">
        <f t="shared" si="149"/>
        <v>-2083.74296005</v>
      </c>
      <c r="CI194" s="56">
        <f>SUMIFS($CH$3:$CH194,$D$3:$D194,D194)</f>
        <v>-2977.1613689779997</v>
      </c>
      <c r="CJ194" s="56">
        <f t="shared" si="195"/>
        <v>-2977.1613689779997</v>
      </c>
      <c r="CK194" s="56">
        <f>Datos1[[#This Row],[Resultado Fiscal (miles de millones de G.)]]*1000/$F$207</f>
        <v>-299.68445260571139</v>
      </c>
      <c r="CL194" s="56">
        <f t="shared" si="165"/>
        <v>-428.17611974541876</v>
      </c>
      <c r="CM194" s="100">
        <f t="shared" si="180"/>
        <v>0.68660987216302849</v>
      </c>
      <c r="CN194" s="100">
        <f t="shared" si="181"/>
        <v>0.24672065729561177</v>
      </c>
      <c r="CO194" s="100">
        <f t="shared" si="187"/>
        <v>0.24672065729561177</v>
      </c>
      <c r="CP194" s="4">
        <f t="shared" si="150"/>
        <v>-0.90014664256283372</v>
      </c>
      <c r="CQ194" s="4">
        <f t="shared" si="196"/>
        <v>-1.286090396960003</v>
      </c>
      <c r="CR194" s="73">
        <v>2511.3459362680001</v>
      </c>
      <c r="CS194" s="113">
        <f>SUM(Datos1[[#This Row],[FFPP]:[MTESS]])</f>
        <v>0</v>
      </c>
      <c r="CT194" s="113"/>
      <c r="CU194" s="113"/>
      <c r="CV194" s="113"/>
      <c r="CW194" s="113"/>
      <c r="CX194" s="113"/>
      <c r="CY194" s="113"/>
      <c r="CZ194" s="113"/>
    </row>
    <row r="195" spans="1:104">
      <c r="A195">
        <v>193</v>
      </c>
      <c r="B195" s="76">
        <v>43466</v>
      </c>
      <c r="C195" s="14" t="str">
        <f t="shared" ref="C195:C202" si="198">VLOOKUP(MONTH(B195),Meses,2,0)</f>
        <v>Enero</v>
      </c>
      <c r="D195" s="14">
        <f t="shared" si="151"/>
        <v>2019</v>
      </c>
      <c r="E195" s="15">
        <f t="shared" ref="E195:E202" si="199">VLOOKUP(D195,PIBNOMG,2,0)</f>
        <v>238054.14769779114</v>
      </c>
      <c r="F195" s="15">
        <f t="shared" ref="F195:F202" si="200">VLOOKUP(D195,cambio,2,0)</f>
        <v>6213.5246756295674</v>
      </c>
      <c r="G195" s="56">
        <v>2742.7452852879996</v>
      </c>
      <c r="H195" s="4">
        <f t="shared" si="152"/>
        <v>1.1521518578075374</v>
      </c>
      <c r="I195" s="4">
        <f>SUMIFS($G$3:$G195,$D$3:$D195,D195)</f>
        <v>2742.7452852879996</v>
      </c>
      <c r="J195" s="2">
        <f t="shared" si="159"/>
        <v>32875.591014507001</v>
      </c>
      <c r="K195" s="95">
        <f t="shared" si="166"/>
        <v>0.14228000003863372</v>
      </c>
      <c r="L195" s="95">
        <f t="shared" si="167"/>
        <v>0.14228000003863372</v>
      </c>
      <c r="M195" s="95">
        <f t="shared" si="182"/>
        <v>4.8488919897354155E-2</v>
      </c>
      <c r="N195" s="4">
        <f>+'Situfin serie mensual'!GL4</f>
        <v>1849.3213820919998</v>
      </c>
      <c r="O195" s="4">
        <f t="shared" ref="O195:O213" si="201">N195/E195*100</f>
        <v>0.77684904883056538</v>
      </c>
      <c r="P195" s="4">
        <f>SUMIFS($N$3:$N195,$D$3:$D195,D195)</f>
        <v>1849.3213820919998</v>
      </c>
      <c r="Q195" s="4">
        <f t="shared" si="193"/>
        <v>23115.059621988003</v>
      </c>
      <c r="R195" s="97">
        <f t="shared" si="168"/>
        <v>-1.1762564672490705E-2</v>
      </c>
      <c r="S195" s="97">
        <f t="shared" si="169"/>
        <v>-1.1762564672490705E-2</v>
      </c>
      <c r="T195" s="97">
        <f t="shared" si="183"/>
        <v>4.981861878121463E-2</v>
      </c>
      <c r="U195" s="4">
        <v>1042.955184289</v>
      </c>
      <c r="V195" s="4">
        <f t="shared" si="160"/>
        <v>12821.596708759002</v>
      </c>
      <c r="W195" s="97">
        <f t="shared" si="188"/>
        <v>2.1569931411932641E-2</v>
      </c>
      <c r="X195" s="97">
        <f t="shared" si="170"/>
        <v>4.134016292415299E-2</v>
      </c>
      <c r="Y195" s="4">
        <v>763.54994017199999</v>
      </c>
      <c r="Z195" s="4">
        <f t="shared" si="161"/>
        <v>10210.80039685</v>
      </c>
      <c r="AA195" s="97">
        <f t="shared" si="189"/>
        <v>8.4979962736596582E-2</v>
      </c>
      <c r="AB195" s="97">
        <f t="shared" si="171"/>
        <v>-0.10552632661524897</v>
      </c>
      <c r="AC195" s="4">
        <v>72.125538024999997</v>
      </c>
      <c r="AD195" s="4">
        <f t="shared" ref="AD195:AD212" si="202">AC195/E195*100</f>
        <v>3.0297954781515972E-2</v>
      </c>
      <c r="AE195" s="4">
        <v>78.562584897999997</v>
      </c>
      <c r="AF195" s="4">
        <f t="shared" ref="AF195:AF212" si="203">AE195/E195*100</f>
        <v>3.3001981128148589E-2</v>
      </c>
      <c r="AG195" s="4">
        <v>742.73578027299993</v>
      </c>
      <c r="AH195" s="4">
        <f t="shared" ref="AH195:AH212" si="204">AG195*1000/F195</f>
        <v>119.53533928755893</v>
      </c>
      <c r="AI195" s="4">
        <v>317.33001388099996</v>
      </c>
      <c r="AJ195" s="4">
        <f t="shared" ref="AJ195:AJ207" si="205">AI195*1000/$F$207</f>
        <v>45.638484846042793</v>
      </c>
      <c r="AK195" s="101">
        <f>SUMIFS($AJ$3:$AJ195,$D$3:$D195,D195)</f>
        <v>45.638484846042793</v>
      </c>
      <c r="AL195" s="4">
        <v>259.02685085999997</v>
      </c>
      <c r="AM195" s="4">
        <f t="shared" ref="AM195:AM207" si="206">AL195*1000/$F$207</f>
        <v>37.253308828598357</v>
      </c>
      <c r="AN195" s="101">
        <f>SUMIFS($AM$3:$AM195,$D$3:$D195,D195)</f>
        <v>37.253308828598357</v>
      </c>
      <c r="AO195" s="4">
        <f t="shared" si="153"/>
        <v>166.37891553200001</v>
      </c>
      <c r="AP195" s="56">
        <v>2240.842461229</v>
      </c>
      <c r="AQ195" s="4">
        <f t="shared" ref="AQ195:AQ212" si="207">+AP195/E195*100</f>
        <v>0.94131628576946336</v>
      </c>
      <c r="AR195" s="4">
        <f>SUMIFS($AP$3:$AP195,$D$3:$D195,D195)</f>
        <v>2240.842461229</v>
      </c>
      <c r="AS195" s="4">
        <f t="shared" si="162"/>
        <v>31208.390877703001</v>
      </c>
      <c r="AT195" s="97">
        <f t="shared" si="172"/>
        <v>0.20761994781007864</v>
      </c>
      <c r="AU195" s="97">
        <f t="shared" si="173"/>
        <v>0.20761994781007864</v>
      </c>
      <c r="AV195" s="98">
        <f t="shared" si="197"/>
        <v>0.12352354149658185</v>
      </c>
      <c r="AW195" s="4">
        <v>1164.4454002989999</v>
      </c>
      <c r="AX195" s="4">
        <f>SUMIFS($AW$3:$AW195,$D$3:$D195,D195)</f>
        <v>1164.4454002989999</v>
      </c>
      <c r="AY195" s="4">
        <f t="shared" si="163"/>
        <v>15278.058177167999</v>
      </c>
      <c r="AZ195" s="97">
        <f t="shared" si="174"/>
        <v>4.4897448799555706E-2</v>
      </c>
      <c r="BA195" s="97">
        <f t="shared" si="175"/>
        <v>4.4897448799555706E-2</v>
      </c>
      <c r="BB195" s="97">
        <f t="shared" si="190"/>
        <v>8.8655035850728092E-2</v>
      </c>
      <c r="BC195" s="4">
        <v>873.770638179</v>
      </c>
      <c r="BD195" s="4">
        <f t="shared" si="154"/>
        <v>290.67476211999985</v>
      </c>
      <c r="BE195" s="4">
        <v>188.16068268299998</v>
      </c>
      <c r="BF195" s="4">
        <v>135.71840630299999</v>
      </c>
      <c r="BG195" s="4">
        <f t="shared" ref="BG195:BG207" si="208">+BF195/$F$207*1000</f>
        <v>19.519056371740849</v>
      </c>
      <c r="BH195" s="4">
        <f>Datos1[[#This Row],[Intereses]]/Datos1[[#This Row],[PIB nominal (miles de millones de G.)]]*100</f>
        <v>5.7011569685101231E-2</v>
      </c>
      <c r="BI195" s="4">
        <v>264.65129009499998</v>
      </c>
      <c r="BJ195" s="4">
        <v>467.30226858900005</v>
      </c>
      <c r="BK195" s="4">
        <v>20.564413260000002</v>
      </c>
      <c r="BL195" s="56">
        <f t="shared" ref="BL195:BL201" si="209">+G195-AP195</f>
        <v>501.90282405899961</v>
      </c>
      <c r="BM195" s="56">
        <f>SUMIFS($BL$3:$BL195,$D$3:$D195,D195)</f>
        <v>501.90282405899961</v>
      </c>
      <c r="BN195" s="56">
        <f t="shared" si="194"/>
        <v>1667.2001368040001</v>
      </c>
      <c r="BO195" s="100">
        <f t="shared" si="176"/>
        <v>-7.9970168937666841E-2</v>
      </c>
      <c r="BP195" s="100">
        <f t="shared" si="177"/>
        <v>-7.9970168937666841E-2</v>
      </c>
      <c r="BQ195" s="100">
        <f t="shared" si="185"/>
        <v>-0.5340366052928136</v>
      </c>
      <c r="BR195" s="2">
        <f t="shared" ref="BR195:BR212" si="210">BL195/E195*100</f>
        <v>0.21083557203807404</v>
      </c>
      <c r="BS195" s="2">
        <f>+Datos1[[#This Row],[RON acumulado 12 meses]]/Datos1[[#This Row],[PIB nominal (miles de millones de G.)]]*100</f>
        <v>0.70034492275282867</v>
      </c>
      <c r="BT195" s="56">
        <v>114.883261511</v>
      </c>
      <c r="BU195" s="56">
        <f>SUMIFS($BT$3:$BT195,$D$3:$D195,D195)</f>
        <v>114.883261511</v>
      </c>
      <c r="BV195" s="56">
        <f t="shared" si="164"/>
        <v>4628.8200920750005</v>
      </c>
      <c r="BW195" s="100">
        <f t="shared" si="178"/>
        <v>-0.33994373620626694</v>
      </c>
      <c r="BX195" s="100">
        <f t="shared" si="179"/>
        <v>-0.33994373620626694</v>
      </c>
      <c r="BY195" s="100">
        <f t="shared" si="186"/>
        <v>-9.8287027963090634E-2</v>
      </c>
      <c r="BZ195" s="56">
        <f t="shared" ref="BZ195:BZ207" si="211">BT195*1000/$F$207</f>
        <v>16.522540447434412</v>
      </c>
      <c r="CA195" s="56">
        <f>Datos1[[#This Row],[Adquisición Neta de Activos no Financieros]]/Datos1[[#This Row],[PIB nominal (miles de millones de G.)]]*100</f>
        <v>4.8259298408378871E-2</v>
      </c>
      <c r="CB195" s="56">
        <f>+Datos1[[#This Row],[ANANF acumulado por año]]/Datos1[[#This Row],[PIB nominal (miles de millones de G.)]]*100</f>
        <v>4.8259298408378871E-2</v>
      </c>
      <c r="CC195" s="56">
        <f>+Datos1[[#This Row],[ANANF acumulado 12 meses]]/Datos1[[#This Row],[PIB nominal (miles de millones de G.)]]*100</f>
        <v>1.9444400094852665</v>
      </c>
      <c r="CD195" s="4">
        <v>59.979626742000001</v>
      </c>
      <c r="CE195" s="4">
        <f t="shared" ref="CE195:CE207" si="212">CD195*1000/$F$207</f>
        <v>8.6262854643261022</v>
      </c>
      <c r="CF195" s="4">
        <f t="shared" ref="CF195:CF207" si="213">+BT195-CD195</f>
        <v>54.903634769</v>
      </c>
      <c r="CG195" s="4">
        <f t="shared" ref="CG195:CG207" si="214">CF195*1000/$F$207</f>
        <v>7.8962549831083084</v>
      </c>
      <c r="CH195" s="56">
        <f t="shared" ref="CH195:CH207" si="215">+BL195-BT195</f>
        <v>387.01956254799961</v>
      </c>
      <c r="CI195" s="56">
        <f>SUMIFS($CH$3:$CH195,$D$3:$D195,D195)</f>
        <v>387.01956254799961</v>
      </c>
      <c r="CJ195" s="56">
        <f t="shared" si="195"/>
        <v>-2961.619955271</v>
      </c>
      <c r="CK195" s="56">
        <f>Datos1[[#This Row],[Resultado Fiscal (miles de millones de G.)]]*1000/$F$207</f>
        <v>55.661253798364889</v>
      </c>
      <c r="CL195" s="56">
        <f t="shared" si="165"/>
        <v>-425.94094959785446</v>
      </c>
      <c r="CM195" s="100">
        <f t="shared" si="180"/>
        <v>4.1836683410554798E-2</v>
      </c>
      <c r="CN195" s="100">
        <f t="shared" si="181"/>
        <v>4.1836683410554798E-2</v>
      </c>
      <c r="CO195" s="100">
        <f t="shared" si="187"/>
        <v>0.90408975908264888</v>
      </c>
      <c r="CP195" s="4">
        <f t="shared" ref="CP195:CP212" si="216">+CH195/E195*100</f>
        <v>0.16257627362969518</v>
      </c>
      <c r="CQ195" s="4">
        <f t="shared" si="196"/>
        <v>-1.2440950867324376</v>
      </c>
      <c r="CR195" s="73">
        <v>1267.79438241</v>
      </c>
      <c r="CS195" s="113">
        <f>SUM(Datos1[[#This Row],[FFPP]:[MTESS]])</f>
        <v>0</v>
      </c>
      <c r="CT195" s="113"/>
      <c r="CU195" s="113"/>
      <c r="CV195" s="113"/>
      <c r="CW195" s="113"/>
      <c r="CX195" s="113"/>
      <c r="CY195" s="113"/>
      <c r="CZ195" s="113"/>
    </row>
    <row r="196" spans="1:104">
      <c r="A196">
        <v>194</v>
      </c>
      <c r="B196" s="3">
        <v>43497</v>
      </c>
      <c r="C196" s="14" t="str">
        <f t="shared" si="198"/>
        <v>Febrero</v>
      </c>
      <c r="D196" s="14">
        <f t="shared" ref="D196:D202" si="217">YEAR(B196)</f>
        <v>2019</v>
      </c>
      <c r="E196" s="15">
        <f t="shared" si="199"/>
        <v>238054.14769779114</v>
      </c>
      <c r="F196" s="15">
        <f t="shared" si="200"/>
        <v>6213.5246756295674</v>
      </c>
      <c r="G196" s="56">
        <v>2658.1769129149998</v>
      </c>
      <c r="H196" s="4">
        <f t="shared" ref="H196:H202" si="218">G196/E196*100</f>
        <v>1.1166270105444858</v>
      </c>
      <c r="I196" s="4">
        <f>SUMIFS($G$3:$G196,$D$3:$D196,D196)</f>
        <v>5400.9221982029994</v>
      </c>
      <c r="J196" s="2">
        <f t="shared" si="159"/>
        <v>33505.782013236996</v>
      </c>
      <c r="K196" s="95">
        <f t="shared" si="166"/>
        <v>0.21941736798513878</v>
      </c>
      <c r="L196" s="95">
        <f t="shared" si="167"/>
        <v>0.31074722675441202</v>
      </c>
      <c r="M196" s="95">
        <f t="shared" si="182"/>
        <v>7.4485331583413528E-2</v>
      </c>
      <c r="N196" s="4">
        <f>+'Situfin serie mensual'!GM4</f>
        <v>1595.0464208089998</v>
      </c>
      <c r="O196" s="4">
        <f t="shared" si="201"/>
        <v>0.67003513118112323</v>
      </c>
      <c r="P196" s="4">
        <f>SUMIFS($N$3:$N196,$D$3:$D196,D196)</f>
        <v>3444.3678029009998</v>
      </c>
      <c r="Q196" s="4">
        <f t="shared" si="193"/>
        <v>23274.547980418996</v>
      </c>
      <c r="R196" s="97">
        <f t="shared" si="168"/>
        <v>0.11109850768892438</v>
      </c>
      <c r="S196" s="97">
        <f t="shared" si="169"/>
        <v>4.1572787641532827E-2</v>
      </c>
      <c r="T196" s="97">
        <f t="shared" si="183"/>
        <v>4.8943771982727924E-2</v>
      </c>
      <c r="U196" s="4">
        <v>877.62680255399982</v>
      </c>
      <c r="V196" s="4">
        <f t="shared" si="160"/>
        <v>12961.299552311</v>
      </c>
      <c r="W196" s="97">
        <f t="shared" si="188"/>
        <v>2.6828744831175033E-2</v>
      </c>
      <c r="X196" s="97">
        <f t="shared" si="170"/>
        <v>0.18931875276273713</v>
      </c>
      <c r="Y196" s="4">
        <v>755.98736020999979</v>
      </c>
      <c r="Z196" s="4">
        <f t="shared" si="161"/>
        <v>10201.086668876</v>
      </c>
      <c r="AA196" s="97">
        <f t="shared" si="189"/>
        <v>6.7912415733234033E-2</v>
      </c>
      <c r="AB196" s="97">
        <f t="shared" si="171"/>
        <v>-1.2686057423580199E-2</v>
      </c>
      <c r="AC196" s="4">
        <v>315.18921134999999</v>
      </c>
      <c r="AD196" s="4">
        <f t="shared" si="202"/>
        <v>0.13240231871537544</v>
      </c>
      <c r="AE196" s="4">
        <v>76.940579399000001</v>
      </c>
      <c r="AF196" s="4">
        <f t="shared" si="203"/>
        <v>3.2320621229702653E-2</v>
      </c>
      <c r="AG196" s="4">
        <v>671.00070135700003</v>
      </c>
      <c r="AH196" s="4">
        <f t="shared" si="204"/>
        <v>107.99034950143057</v>
      </c>
      <c r="AI196" s="4">
        <v>291.26039676200003</v>
      </c>
      <c r="AJ196" s="4">
        <f t="shared" si="205"/>
        <v>41.889145754929316</v>
      </c>
      <c r="AK196" s="101">
        <f>SUMIFS($AJ$3:$AJ196,$D$3:$D196,D196)</f>
        <v>87.527630600972117</v>
      </c>
      <c r="AL196" s="4">
        <v>254.181925842</v>
      </c>
      <c r="AM196" s="4">
        <f t="shared" si="206"/>
        <v>36.556510456739574</v>
      </c>
      <c r="AN196" s="101">
        <f>SUMIFS($AM$3:$AM196,$D$3:$D196,D196)</f>
        <v>73.809819285337937</v>
      </c>
      <c r="AO196" s="4">
        <f t="shared" ref="AO196:AO202" si="219">+AG196-AI196-AL196</f>
        <v>125.558378753</v>
      </c>
      <c r="AP196" s="56">
        <v>2638.3481123509996</v>
      </c>
      <c r="AQ196" s="4">
        <f t="shared" si="207"/>
        <v>1.1082974767994267</v>
      </c>
      <c r="AR196" s="4">
        <f>SUMIFS($AP$3:$AP196,$D$3:$D196,D196)</f>
        <v>4879.1905735799992</v>
      </c>
      <c r="AS196" s="4">
        <f t="shared" si="162"/>
        <v>31166.051912468</v>
      </c>
      <c r="AT196" s="97">
        <f t="shared" si="172"/>
        <v>-1.5794072194777575E-2</v>
      </c>
      <c r="AU196" s="97">
        <f t="shared" si="173"/>
        <v>7.559458496418392E-2</v>
      </c>
      <c r="AV196" s="98">
        <f t="shared" si="197"/>
        <v>9.4400950129711392E-2</v>
      </c>
      <c r="AW196" s="4">
        <v>1224.8843770519998</v>
      </c>
      <c r="AX196" s="4">
        <f>SUMIFS($AW$3:$AW196,$D$3:$D196,D196)</f>
        <v>2389.3297773509994</v>
      </c>
      <c r="AY196" s="4">
        <f t="shared" si="163"/>
        <v>15333.125350064</v>
      </c>
      <c r="AZ196" s="97">
        <f t="shared" si="174"/>
        <v>4.7073314275395184E-2</v>
      </c>
      <c r="BA196" s="97">
        <f t="shared" si="175"/>
        <v>4.6011770328753476E-2</v>
      </c>
      <c r="BB196" s="97">
        <f t="shared" si="190"/>
        <v>8.1446106561247289E-2</v>
      </c>
      <c r="BC196" s="4">
        <v>877.35563692300002</v>
      </c>
      <c r="BD196" s="4">
        <f t="shared" ref="BD196:BD202" si="220">+AW196-BC196</f>
        <v>347.52874012899974</v>
      </c>
      <c r="BE196" s="4">
        <v>276.09282404700002</v>
      </c>
      <c r="BF196" s="4">
        <v>202.30891729500001</v>
      </c>
      <c r="BG196" s="4">
        <f t="shared" si="208"/>
        <v>29.096120922396025</v>
      </c>
      <c r="BH196" s="4">
        <f>Datos1[[#This Row],[Intereses]]/Datos1[[#This Row],[PIB nominal (miles de millones de G.)]]*100</f>
        <v>8.4984411845590038E-2</v>
      </c>
      <c r="BI196" s="4">
        <v>457.61682566899998</v>
      </c>
      <c r="BJ196" s="4">
        <v>415.2540907660001</v>
      </c>
      <c r="BK196" s="4">
        <v>62.191077522</v>
      </c>
      <c r="BL196" s="56">
        <f t="shared" si="209"/>
        <v>19.828800564000176</v>
      </c>
      <c r="BM196" s="56">
        <f>SUMIFS($BL$3:$BL196,$D$3:$D196,D196)</f>
        <v>521.73162462299979</v>
      </c>
      <c r="BN196" s="56">
        <f t="shared" si="194"/>
        <v>2339.7301007690003</v>
      </c>
      <c r="BO196" s="100">
        <f t="shared" si="176"/>
        <v>-1.0303796004601542</v>
      </c>
      <c r="BP196" s="100">
        <f t="shared" si="177"/>
        <v>-5.8681571972206594</v>
      </c>
      <c r="BQ196" s="100">
        <f t="shared" si="185"/>
        <v>-0.13515375918363459</v>
      </c>
      <c r="BR196" s="2">
        <f t="shared" si="210"/>
        <v>8.3295337450590284E-3</v>
      </c>
      <c r="BS196" s="2">
        <f>+Datos1[[#This Row],[RON acumulado 12 meses]]/Datos1[[#This Row],[PIB nominal (miles de millones de G.)]]*100</f>
        <v>0.98285626333185305</v>
      </c>
      <c r="BT196" s="56">
        <v>202.16999960299998</v>
      </c>
      <c r="BU196" s="56">
        <f>SUMIFS($BT$3:$BT196,$D$3:$D196,D196)</f>
        <v>317.05326111399995</v>
      </c>
      <c r="BV196" s="56">
        <f t="shared" si="164"/>
        <v>4696.0367065000009</v>
      </c>
      <c r="BW196" s="100">
        <f t="shared" si="178"/>
        <v>0.49807282963923449</v>
      </c>
      <c r="BX196" s="100">
        <f t="shared" si="179"/>
        <v>2.6048734681453301E-2</v>
      </c>
      <c r="BY196" s="100">
        <f t="shared" si="186"/>
        <v>-6.4903615329665043E-2</v>
      </c>
      <c r="BZ196" s="56">
        <f t="shared" si="211"/>
        <v>29.076141743926101</v>
      </c>
      <c r="CA196" s="56">
        <f>Datos1[[#This Row],[Adquisición Neta de Activos no Financieros]]/Datos1[[#This Row],[PIB nominal (miles de millones de G.)]]*100</f>
        <v>8.4926056343976847E-2</v>
      </c>
      <c r="CB196" s="56">
        <f>+Datos1[[#This Row],[ANANF acumulado por año]]/Datos1[[#This Row],[PIB nominal (miles de millones de G.)]]*100</f>
        <v>0.13318535475235571</v>
      </c>
      <c r="CC196" s="56">
        <f>+Datos1[[#This Row],[ANANF acumulado 12 meses]]/Datos1[[#This Row],[PIB nominal (miles de millones de G.)]]*100</f>
        <v>1.9726758604775927</v>
      </c>
      <c r="CD196" s="4">
        <v>150.88182346899998</v>
      </c>
      <c r="CE196" s="4">
        <f t="shared" si="212"/>
        <v>21.699862958804598</v>
      </c>
      <c r="CF196" s="4">
        <f t="shared" si="213"/>
        <v>51.288176133999997</v>
      </c>
      <c r="CG196" s="4">
        <f t="shared" si="214"/>
        <v>7.3762787851215039</v>
      </c>
      <c r="CH196" s="56">
        <f t="shared" si="215"/>
        <v>-182.3411990389998</v>
      </c>
      <c r="CI196" s="56">
        <f>SUMIFS($CH$3:$CH196,$D$3:$D196,D196)</f>
        <v>204.67836350899981</v>
      </c>
      <c r="CJ196" s="56">
        <f t="shared" si="195"/>
        <v>-2356.3066057309998</v>
      </c>
      <c r="CK196" s="56">
        <f>Datos1[[#This Row],[Resultado Fiscal (miles de millones de G.)]]*1000/$F$207</f>
        <v>-26.224358507327846</v>
      </c>
      <c r="CL196" s="56">
        <f t="shared" si="165"/>
        <v>-338.88462677410666</v>
      </c>
      <c r="CM196" s="100">
        <f t="shared" si="180"/>
        <v>-0.76850105243731559</v>
      </c>
      <c r="CN196" s="100">
        <f t="shared" si="181"/>
        <v>-1.4918067522277887</v>
      </c>
      <c r="CO196" s="100">
        <f t="shared" si="187"/>
        <v>1.7135524908440614E-2</v>
      </c>
      <c r="CP196" s="4">
        <f t="shared" si="216"/>
        <v>-7.6596522598917832E-2</v>
      </c>
      <c r="CQ196" s="4">
        <f t="shared" si="196"/>
        <v>-0.98981959714573942</v>
      </c>
      <c r="CR196" s="73">
        <v>1415.7966738969999</v>
      </c>
      <c r="CS196" s="113">
        <f>SUM(Datos1[[#This Row],[FFPP]:[MTESS]])</f>
        <v>0</v>
      </c>
      <c r="CT196" s="113"/>
      <c r="CU196" s="113"/>
      <c r="CV196" s="113"/>
      <c r="CW196" s="113"/>
      <c r="CX196" s="113"/>
      <c r="CY196" s="113"/>
      <c r="CZ196" s="113"/>
    </row>
    <row r="197" spans="1:104">
      <c r="A197">
        <v>195</v>
      </c>
      <c r="B197" s="3">
        <v>43525</v>
      </c>
      <c r="C197" s="14" t="str">
        <f t="shared" si="198"/>
        <v>Marzo</v>
      </c>
      <c r="D197" s="14">
        <f t="shared" si="217"/>
        <v>2019</v>
      </c>
      <c r="E197" s="15">
        <f t="shared" si="199"/>
        <v>238054.14769779114</v>
      </c>
      <c r="F197" s="15">
        <f t="shared" si="200"/>
        <v>6213.5246756295674</v>
      </c>
      <c r="G197" s="56">
        <v>2467.6436359110003</v>
      </c>
      <c r="H197" s="4">
        <f t="shared" si="218"/>
        <v>1.0365892213076096</v>
      </c>
      <c r="I197" s="4">
        <f>SUMIFS($G$3:$G197,$D$3:$D197,D197)</f>
        <v>7868.5658341139997</v>
      </c>
      <c r="J197" s="2">
        <f t="shared" si="159"/>
        <v>33732.652369357995</v>
      </c>
      <c r="K197" s="95">
        <f t="shared" si="166"/>
        <v>0.17971733408811708</v>
      </c>
      <c r="L197" s="95">
        <f t="shared" si="167"/>
        <v>0.10124645726865422</v>
      </c>
      <c r="M197" s="95">
        <f t="shared" si="182"/>
        <v>8.2243003539236303E-2</v>
      </c>
      <c r="N197" s="4">
        <f>+'Situfin serie mensual'!GN4</f>
        <v>1795.8413952830003</v>
      </c>
      <c r="O197" s="4">
        <f t="shared" si="201"/>
        <v>0.75438357728713656</v>
      </c>
      <c r="P197" s="4">
        <f>SUMIFS($N$3:$N197,$D$3:$D197,D197)</f>
        <v>5240.2091981840003</v>
      </c>
      <c r="Q197" s="4">
        <f t="shared" si="193"/>
        <v>23456.160742595996</v>
      </c>
      <c r="R197" s="97">
        <f t="shared" si="168"/>
        <v>0.11250745926093031</v>
      </c>
      <c r="S197" s="97">
        <f t="shared" si="169"/>
        <v>6.4840820881728156E-2</v>
      </c>
      <c r="T197" s="97">
        <f t="shared" si="183"/>
        <v>5.0984411290188714E-2</v>
      </c>
      <c r="U197" s="4">
        <v>1053.8462022660003</v>
      </c>
      <c r="V197" s="4">
        <f t="shared" si="160"/>
        <v>13237.978738293001</v>
      </c>
      <c r="W197" s="97">
        <f t="shared" si="188"/>
        <v>4.3582962394342672E-2</v>
      </c>
      <c r="X197" s="97">
        <f t="shared" si="170"/>
        <v>0.35600994404643305</v>
      </c>
      <c r="Y197" s="4">
        <v>741.18735344499999</v>
      </c>
      <c r="Z197" s="4">
        <f t="shared" si="161"/>
        <v>10113.803409854001</v>
      </c>
      <c r="AA197" s="97">
        <f t="shared" si="189"/>
        <v>4.9934300496608186E-2</v>
      </c>
      <c r="AB197" s="97">
        <f t="shared" si="171"/>
        <v>-0.10535468332677489</v>
      </c>
      <c r="AC197" s="4">
        <v>145.23205221399999</v>
      </c>
      <c r="AD197" s="4">
        <f t="shared" si="202"/>
        <v>6.1007990668732873E-2</v>
      </c>
      <c r="AE197" s="4">
        <v>100.16844482600001</v>
      </c>
      <c r="AF197" s="4">
        <f t="shared" si="203"/>
        <v>4.2078008635734208E-2</v>
      </c>
      <c r="AG197" s="4">
        <v>426.40174358799999</v>
      </c>
      <c r="AH197" s="4">
        <f t="shared" si="204"/>
        <v>68.624776732667613</v>
      </c>
      <c r="AI197" s="4">
        <v>293.92937442900001</v>
      </c>
      <c r="AJ197" s="4">
        <f t="shared" si="205"/>
        <v>42.272998814777239</v>
      </c>
      <c r="AK197" s="101">
        <f>SUMIFS($AJ$3:$AJ197,$D$3:$D197,D197)</f>
        <v>129.80062941574937</v>
      </c>
      <c r="AL197" s="4">
        <v>0</v>
      </c>
      <c r="AM197" s="4">
        <f t="shared" si="206"/>
        <v>0</v>
      </c>
      <c r="AN197" s="101">
        <f>SUMIFS($AM$3:$AM197,$D$3:$D197,D197)</f>
        <v>73.809819285337937</v>
      </c>
      <c r="AO197" s="4">
        <f t="shared" si="219"/>
        <v>132.47236915899998</v>
      </c>
      <c r="AP197" s="56">
        <v>2824.5011105849999</v>
      </c>
      <c r="AQ197" s="4">
        <f t="shared" si="207"/>
        <v>1.1864952314003341</v>
      </c>
      <c r="AR197" s="4">
        <f>SUMIFS($AP$3:$AP197,$D$3:$D197,D197)</f>
        <v>7703.6916841649991</v>
      </c>
      <c r="AS197" s="4">
        <f t="shared" si="162"/>
        <v>31574.202670695999</v>
      </c>
      <c r="AT197" s="97">
        <f t="shared" si="172"/>
        <v>0.16891207760078109</v>
      </c>
      <c r="AU197" s="97">
        <f t="shared" si="173"/>
        <v>0.10802662504969907</v>
      </c>
      <c r="AV197" s="98">
        <f t="shared" si="197"/>
        <v>9.407869402181146E-2</v>
      </c>
      <c r="AW197" s="4">
        <v>1214.317996689</v>
      </c>
      <c r="AX197" s="4">
        <f>SUMIFS($AW$3:$AW197,$D$3:$D197,D197)</f>
        <v>3603.6477740399996</v>
      </c>
      <c r="AY197" s="4">
        <f t="shared" si="163"/>
        <v>15386.805640364</v>
      </c>
      <c r="AZ197" s="97">
        <f t="shared" si="174"/>
        <v>4.6250686156846799E-2</v>
      </c>
      <c r="BA197" s="97">
        <f t="shared" si="175"/>
        <v>4.6092265393392173E-2</v>
      </c>
      <c r="BB197" s="97">
        <f t="shared" si="190"/>
        <v>7.5094827955225485E-2</v>
      </c>
      <c r="BC197" s="4">
        <v>877.23011889300005</v>
      </c>
      <c r="BD197" s="4">
        <f t="shared" si="220"/>
        <v>337.08787779599993</v>
      </c>
      <c r="BE197" s="4">
        <v>312.67283280999999</v>
      </c>
      <c r="BF197" s="4">
        <v>202.67712963699998</v>
      </c>
      <c r="BG197" s="4">
        <f t="shared" si="208"/>
        <v>29.14907731686047</v>
      </c>
      <c r="BH197" s="4">
        <f>Datos1[[#This Row],[Intereses]]/Datos1[[#This Row],[PIB nominal (miles de millones de G.)]]*100</f>
        <v>8.5139087723141826E-2</v>
      </c>
      <c r="BI197" s="4">
        <v>498.50771384400008</v>
      </c>
      <c r="BJ197" s="4">
        <v>396.32590138899997</v>
      </c>
      <c r="BK197" s="4">
        <v>199.999536216</v>
      </c>
      <c r="BL197" s="56">
        <f t="shared" si="209"/>
        <v>-356.8574746739996</v>
      </c>
      <c r="BM197" s="56">
        <f>SUMIFS($BL$3:$BL197,$D$3:$D197,D197)</f>
        <v>164.87414994900018</v>
      </c>
      <c r="BN197" s="56">
        <f t="shared" si="194"/>
        <v>2158.4496986620006</v>
      </c>
      <c r="BO197" s="100">
        <f t="shared" si="176"/>
        <v>1.0324833388358456</v>
      </c>
      <c r="BP197" s="100">
        <f t="shared" si="177"/>
        <v>-1.5831105686726534</v>
      </c>
      <c r="BQ197" s="100">
        <f t="shared" si="185"/>
        <v>-6.5619855669697413E-2</v>
      </c>
      <c r="BR197" s="2">
        <f t="shared" si="210"/>
        <v>-0.14990601009272431</v>
      </c>
      <c r="BS197" s="2">
        <f>+Datos1[[#This Row],[RON acumulado 12 meses]]/Datos1[[#This Row],[PIB nominal (miles de millones de G.)]]*100</f>
        <v>0.90670535234788041</v>
      </c>
      <c r="BT197" s="56">
        <v>570.4408570789999</v>
      </c>
      <c r="BU197" s="56">
        <f>SUMIFS($BT$3:$BT197,$D$3:$D197,D197)</f>
        <v>887.49411819299985</v>
      </c>
      <c r="BV197" s="56">
        <f t="shared" si="164"/>
        <v>4965.5062950470001</v>
      </c>
      <c r="BW197" s="100">
        <f t="shared" si="178"/>
        <v>0.89533326506994881</v>
      </c>
      <c r="BX197" s="100">
        <f t="shared" si="179"/>
        <v>0.45496715219338468</v>
      </c>
      <c r="BY197" s="100">
        <f t="shared" si="186"/>
        <v>2.3296345879798119E-2</v>
      </c>
      <c r="BZ197" s="56">
        <f t="shared" si="211"/>
        <v>82.040951919305286</v>
      </c>
      <c r="CA197" s="56">
        <f>Datos1[[#This Row],[Adquisición Neta de Activos no Financieros]]/Datos1[[#This Row],[PIB nominal (miles de millones de G.)]]*100</f>
        <v>0.23962651463782622</v>
      </c>
      <c r="CB197" s="56">
        <f>+Datos1[[#This Row],[ANANF acumulado por año]]/Datos1[[#This Row],[PIB nominal (miles de millones de G.)]]*100</f>
        <v>0.3728118693901819</v>
      </c>
      <c r="CC197" s="56">
        <f>+Datos1[[#This Row],[ANANF acumulado 12 meses]]/Datos1[[#This Row],[PIB nominal (miles de millones de G.)]]*100</f>
        <v>2.0858726231271936</v>
      </c>
      <c r="CD197" s="4">
        <v>444.23602886099997</v>
      </c>
      <c r="CE197" s="4">
        <f t="shared" si="212"/>
        <v>63.890140813600773</v>
      </c>
      <c r="CF197" s="4">
        <f t="shared" si="213"/>
        <v>126.20482821799993</v>
      </c>
      <c r="CG197" s="4">
        <f t="shared" si="214"/>
        <v>18.150811105704523</v>
      </c>
      <c r="CH197" s="56">
        <f t="shared" si="215"/>
        <v>-927.2983317529995</v>
      </c>
      <c r="CI197" s="56">
        <f>SUMIFS($CH$3:$CH197,$D$3:$D197,D197)</f>
        <v>-722.61996824399966</v>
      </c>
      <c r="CJ197" s="56">
        <f t="shared" si="195"/>
        <v>-2807.0565963849995</v>
      </c>
      <c r="CK197" s="56">
        <f>Datos1[[#This Row],[Resultado Fiscal (miles de millones de G.)]]*1000/$F$207</f>
        <v>-133.36428642183336</v>
      </c>
      <c r="CL197" s="56">
        <f t="shared" si="165"/>
        <v>-403.71160726114908</v>
      </c>
      <c r="CM197" s="100">
        <f t="shared" si="180"/>
        <v>0.94586414804108832</v>
      </c>
      <c r="CN197" s="100">
        <f t="shared" si="181"/>
        <v>-0.19054560136141607</v>
      </c>
      <c r="CO197" s="100">
        <f t="shared" si="187"/>
        <v>0.10408504016357223</v>
      </c>
      <c r="CP197" s="4">
        <f t="shared" si="216"/>
        <v>-0.38953252473055056</v>
      </c>
      <c r="CQ197" s="4">
        <f t="shared" si="196"/>
        <v>-1.1791672707793135</v>
      </c>
      <c r="CR197" s="73">
        <v>1309.5150551439999</v>
      </c>
      <c r="CS197" s="113">
        <f>SUM(Datos1[[#This Row],[FFPP]:[MTESS]])</f>
        <v>0</v>
      </c>
      <c r="CT197" s="113"/>
      <c r="CU197" s="113"/>
      <c r="CV197" s="113"/>
      <c r="CW197" s="113"/>
      <c r="CX197" s="113"/>
      <c r="CY197" s="113"/>
      <c r="CZ197" s="113"/>
    </row>
    <row r="198" spans="1:104">
      <c r="A198">
        <v>196</v>
      </c>
      <c r="B198" s="3">
        <v>43556</v>
      </c>
      <c r="C198" s="14" t="str">
        <f t="shared" si="198"/>
        <v>Abril</v>
      </c>
      <c r="D198" s="14">
        <f t="shared" si="217"/>
        <v>2019</v>
      </c>
      <c r="E198" s="15">
        <f t="shared" si="199"/>
        <v>238054.14769779114</v>
      </c>
      <c r="F198" s="15">
        <f t="shared" si="200"/>
        <v>6213.5246756295674</v>
      </c>
      <c r="G198" s="56">
        <v>3135.5129040580005</v>
      </c>
      <c r="H198" s="4">
        <f t="shared" si="218"/>
        <v>1.3171427317613984</v>
      </c>
      <c r="I198" s="4">
        <f>SUMIFS($G$3:$G198,$D$3:$D198,D198)</f>
        <v>11004.078738172</v>
      </c>
      <c r="J198" s="2">
        <f t="shared" si="159"/>
        <v>33475.360004891998</v>
      </c>
      <c r="K198" s="95">
        <f t="shared" si="166"/>
        <v>9.3553572977983057E-2</v>
      </c>
      <c r="L198" s="95">
        <f t="shared" si="167"/>
        <v>-7.5834698458226435E-2</v>
      </c>
      <c r="M198" s="95">
        <f t="shared" si="182"/>
        <v>3.9682291648386103E-2</v>
      </c>
      <c r="N198" s="4">
        <f>+'Situfin serie mensual'!GO4</f>
        <v>2213.9597514760003</v>
      </c>
      <c r="O198" s="4">
        <f t="shared" si="201"/>
        <v>0.93002359878501839</v>
      </c>
      <c r="P198" s="4">
        <f>SUMIFS($N$3:$N198,$D$3:$D198,D198)</f>
        <v>7454.1689496600011</v>
      </c>
      <c r="Q198" s="4">
        <f t="shared" si="193"/>
        <v>23377.070382591006</v>
      </c>
      <c r="R198" s="97">
        <f t="shared" si="168"/>
        <v>-3.4491335191064731E-2</v>
      </c>
      <c r="S198" s="97">
        <f t="shared" si="169"/>
        <v>3.3267734052181197E-2</v>
      </c>
      <c r="T198" s="97">
        <f t="shared" si="183"/>
        <v>3.0730550882228203E-2</v>
      </c>
      <c r="U198" s="4">
        <v>1439.7290024630001</v>
      </c>
      <c r="V198" s="4">
        <f t="shared" si="160"/>
        <v>13278.427409393002</v>
      </c>
      <c r="W198" s="97">
        <f t="shared" si="188"/>
        <v>4.0665866787668925E-2</v>
      </c>
      <c r="X198" s="97">
        <f t="shared" si="170"/>
        <v>2.8906767424222934E-2</v>
      </c>
      <c r="Y198" s="4">
        <v>769.85682681299988</v>
      </c>
      <c r="Z198" s="4">
        <f t="shared" si="161"/>
        <v>10040.825330648</v>
      </c>
      <c r="AA198" s="97">
        <f t="shared" si="189"/>
        <v>2.3778171491741995E-2</v>
      </c>
      <c r="AB198" s="97">
        <f t="shared" si="171"/>
        <v>-8.6586446153139152E-2</v>
      </c>
      <c r="AC198" s="4">
        <v>134.82251537000002</v>
      </c>
      <c r="AD198" s="4">
        <f t="shared" si="202"/>
        <v>5.6635230544756859E-2</v>
      </c>
      <c r="AE198" s="4">
        <v>102.78687928700002</v>
      </c>
      <c r="AF198" s="4">
        <f t="shared" si="203"/>
        <v>4.3177940935306691E-2</v>
      </c>
      <c r="AG198" s="4">
        <v>683.94375792500011</v>
      </c>
      <c r="AH198" s="4">
        <f t="shared" si="204"/>
        <v>110.07339531579176</v>
      </c>
      <c r="AI198" s="4">
        <v>272.22297601899999</v>
      </c>
      <c r="AJ198" s="4">
        <f t="shared" si="205"/>
        <v>39.15117896930731</v>
      </c>
      <c r="AK198" s="101">
        <f>SUMIFS($AJ$3:$AJ198,$D$3:$D198,D198)</f>
        <v>168.95180838505667</v>
      </c>
      <c r="AL198" s="4">
        <v>226.66897651300002</v>
      </c>
      <c r="AM198" s="4">
        <f t="shared" si="206"/>
        <v>32.599590953082476</v>
      </c>
      <c r="AN198" s="101">
        <f>SUMIFS($AM$3:$AM198,$D$3:$D198,D198)</f>
        <v>106.40941023842041</v>
      </c>
      <c r="AO198" s="4">
        <f t="shared" si="219"/>
        <v>185.05180539300011</v>
      </c>
      <c r="AP198" s="56">
        <v>2711.9792137320005</v>
      </c>
      <c r="AQ198" s="4">
        <f t="shared" si="207"/>
        <v>1.1392278773377424</v>
      </c>
      <c r="AR198" s="4">
        <f>SUMIFS($AP$3:$AP198,$D$3:$D198,D198)</f>
        <v>10415.670897897</v>
      </c>
      <c r="AS198" s="4">
        <f t="shared" si="162"/>
        <v>31588.125307522998</v>
      </c>
      <c r="AT198" s="97">
        <f t="shared" si="172"/>
        <v>5.1602464329978392E-3</v>
      </c>
      <c r="AU198" s="97">
        <f t="shared" si="173"/>
        <v>7.9268100872366132E-2</v>
      </c>
      <c r="AV198" s="98">
        <f t="shared" si="197"/>
        <v>7.6894748410424985E-2</v>
      </c>
      <c r="AW198" s="4">
        <v>1274.8615103020002</v>
      </c>
      <c r="AX198" s="4">
        <f>SUMIFS($AW$3:$AW198,$D$3:$D198,D198)</f>
        <v>4878.5092843419998</v>
      </c>
      <c r="AY198" s="4">
        <f t="shared" si="163"/>
        <v>15491.106027554</v>
      </c>
      <c r="AZ198" s="97">
        <f t="shared" si="174"/>
        <v>8.9102897004397441E-2</v>
      </c>
      <c r="BA198" s="97">
        <f t="shared" si="175"/>
        <v>5.7000588913414418E-2</v>
      </c>
      <c r="BB198" s="97">
        <f t="shared" si="190"/>
        <v>7.2196347616342971E-2</v>
      </c>
      <c r="BC198" s="4">
        <v>928.81677913500005</v>
      </c>
      <c r="BD198" s="4">
        <f t="shared" si="220"/>
        <v>346.04473116700012</v>
      </c>
      <c r="BE198" s="4">
        <v>279.54955463499999</v>
      </c>
      <c r="BF198" s="4">
        <v>167.74711762999999</v>
      </c>
      <c r="BG198" s="4">
        <f t="shared" si="208"/>
        <v>24.125433936403635</v>
      </c>
      <c r="BH198" s="4">
        <f>Datos1[[#This Row],[Intereses]]/Datos1[[#This Row],[PIB nominal (miles de millones de G.)]]*100</f>
        <v>7.0465950395014465E-2</v>
      </c>
      <c r="BI198" s="4">
        <v>358.43382038799996</v>
      </c>
      <c r="BJ198" s="4">
        <v>466.584760303</v>
      </c>
      <c r="BK198" s="4">
        <v>164.80245047400001</v>
      </c>
      <c r="BL198" s="56">
        <f t="shared" si="209"/>
        <v>423.53369032599994</v>
      </c>
      <c r="BM198" s="56">
        <f>SUMIFS($BL$3:$BL198,$D$3:$D198,D198)</f>
        <v>588.40784027500013</v>
      </c>
      <c r="BN198" s="56">
        <f t="shared" si="194"/>
        <v>1887.2346973690005</v>
      </c>
      <c r="BO198" s="100">
        <f t="shared" si="176"/>
        <v>-0.39037857079079519</v>
      </c>
      <c r="BP198" s="100">
        <f t="shared" si="177"/>
        <v>0.42817674504915093</v>
      </c>
      <c r="BQ198" s="100">
        <f t="shared" si="185"/>
        <v>-0.34129771970608103</v>
      </c>
      <c r="BR198" s="2">
        <f t="shared" si="210"/>
        <v>0.17791485442365593</v>
      </c>
      <c r="BS198" s="2">
        <f>+Datos1[[#This Row],[RON acumulado 12 meses]]/Datos1[[#This Row],[PIB nominal (miles de millones de G.)]]*100</f>
        <v>0.79277538980956475</v>
      </c>
      <c r="BT198" s="56">
        <v>403.61013225199997</v>
      </c>
      <c r="BU198" s="56">
        <f>SUMIFS($BT$3:$BT198,$D$3:$D198,D198)</f>
        <v>1291.1042504449997</v>
      </c>
      <c r="BV198" s="56">
        <f t="shared" si="164"/>
        <v>4770.3225578459997</v>
      </c>
      <c r="BW198" s="100">
        <f t="shared" si="178"/>
        <v>-0.32596148216965037</v>
      </c>
      <c r="BX198" s="100">
        <f t="shared" si="179"/>
        <v>6.8114752400897594E-2</v>
      </c>
      <c r="BY198" s="100">
        <f t="shared" si="186"/>
        <v>-5.8022500864405302E-2</v>
      </c>
      <c r="BZ198" s="56">
        <f t="shared" si="211"/>
        <v>58.047313833351616</v>
      </c>
      <c r="CA198" s="56">
        <f>Datos1[[#This Row],[Adquisición Neta de Activos no Financieros]]/Datos1[[#This Row],[PIB nominal (miles de millones de G.)]]*100</f>
        <v>0.16954551565485915</v>
      </c>
      <c r="CB198" s="56">
        <f>+Datos1[[#This Row],[ANANF acumulado por año]]/Datos1[[#This Row],[PIB nominal (miles de millones de G.)]]*100</f>
        <v>0.54235738504504094</v>
      </c>
      <c r="CC198" s="56">
        <f>+Datos1[[#This Row],[ANANF acumulado 12 meses]]/Datos1[[#This Row],[PIB nominal (miles de millones de G.)]]*100</f>
        <v>2.003881303467943</v>
      </c>
      <c r="CD198" s="4">
        <v>316.851690265</v>
      </c>
      <c r="CE198" s="4">
        <f t="shared" si="212"/>
        <v>45.569692219611603</v>
      </c>
      <c r="CF198" s="4">
        <f t="shared" si="213"/>
        <v>86.758441986999969</v>
      </c>
      <c r="CG198" s="4">
        <f t="shared" si="214"/>
        <v>12.477621613740006</v>
      </c>
      <c r="CH198" s="56">
        <f t="shared" si="215"/>
        <v>19.92355807399997</v>
      </c>
      <c r="CI198" s="56">
        <f>SUMIFS($CH$3:$CH198,$D$3:$D198,D198)</f>
        <v>-702.69641016999969</v>
      </c>
      <c r="CJ198" s="56">
        <f t="shared" si="195"/>
        <v>-2883.0878604769996</v>
      </c>
      <c r="CK198" s="56">
        <f>Datos1[[#This Row],[Resultado Fiscal (miles de millones de G.)]]*1000/$F$207</f>
        <v>2.8654112862468955</v>
      </c>
      <c r="CL198" s="56">
        <f t="shared" si="165"/>
        <v>-414.64644336962215</v>
      </c>
      <c r="CM198" s="100">
        <f t="shared" si="180"/>
        <v>-0.79236522329714099</v>
      </c>
      <c r="CN198" s="100">
        <f t="shared" si="181"/>
        <v>-0.11806859960013738</v>
      </c>
      <c r="CO198" s="100">
        <f t="shared" si="187"/>
        <v>0.31104410879279465</v>
      </c>
      <c r="CP198" s="4">
        <f t="shared" si="216"/>
        <v>8.3693387687967767E-3</v>
      </c>
      <c r="CQ198" s="4">
        <f t="shared" si="196"/>
        <v>-1.2111059136583786</v>
      </c>
      <c r="CR198" s="73">
        <v>1380.0885442490001</v>
      </c>
      <c r="CS198" s="113">
        <f>SUM(Datos1[[#This Row],[FFPP]:[MTESS]])</f>
        <v>0</v>
      </c>
      <c r="CT198" s="113"/>
      <c r="CU198" s="113"/>
      <c r="CV198" s="113"/>
      <c r="CW198" s="113"/>
      <c r="CX198" s="113"/>
      <c r="CY198" s="113"/>
      <c r="CZ198" s="113"/>
    </row>
    <row r="199" spans="1:104">
      <c r="A199">
        <v>197</v>
      </c>
      <c r="B199" s="3">
        <v>43586</v>
      </c>
      <c r="C199" s="14" t="str">
        <f t="shared" si="198"/>
        <v>Mayo</v>
      </c>
      <c r="D199" s="14">
        <f t="shared" si="217"/>
        <v>2019</v>
      </c>
      <c r="E199" s="15">
        <f t="shared" si="199"/>
        <v>238054.14769779114</v>
      </c>
      <c r="F199" s="15">
        <f t="shared" si="200"/>
        <v>6213.5246756295674</v>
      </c>
      <c r="G199" s="56">
        <v>3079.8704872479998</v>
      </c>
      <c r="H199" s="4">
        <f t="shared" si="218"/>
        <v>1.2937688828500833</v>
      </c>
      <c r="I199" s="4">
        <f>SUMIFS($G$3:$G199,$D$3:$D199,D199)</f>
        <v>14083.949225419999</v>
      </c>
      <c r="J199" s="2">
        <f t="shared" si="159"/>
        <v>33606.467883222998</v>
      </c>
      <c r="K199" s="95">
        <f t="shared" si="166"/>
        <v>8.2428026533579057E-2</v>
      </c>
      <c r="L199" s="95">
        <f t="shared" si="167"/>
        <v>4.4461998376719825E-2</v>
      </c>
      <c r="M199" s="95">
        <f t="shared" si="182"/>
        <v>4.2340708557127904E-2</v>
      </c>
      <c r="N199" s="4">
        <f>+'Situfin serie mensual'!GP4</f>
        <v>2279.4688096239997</v>
      </c>
      <c r="O199" s="4">
        <f t="shared" si="201"/>
        <v>0.95754215235005147</v>
      </c>
      <c r="P199" s="4">
        <f>SUMIFS($N$3:$N199,$D$3:$D199,D199)</f>
        <v>9733.6377592839999</v>
      </c>
      <c r="Q199" s="4">
        <f t="shared" si="193"/>
        <v>23464.181063002001</v>
      </c>
      <c r="R199" s="97">
        <f t="shared" si="168"/>
        <v>3.9733782200205514E-2</v>
      </c>
      <c r="S199" s="97">
        <f t="shared" si="169"/>
        <v>3.4774761217747141E-2</v>
      </c>
      <c r="T199" s="97">
        <f t="shared" si="183"/>
        <v>3.6578551670669368E-2</v>
      </c>
      <c r="U199" s="4">
        <v>1463.6262642319998</v>
      </c>
      <c r="V199" s="4">
        <f t="shared" si="160"/>
        <v>13355.289366036001</v>
      </c>
      <c r="W199" s="97">
        <f t="shared" si="188"/>
        <v>4.793544036120867E-2</v>
      </c>
      <c r="X199" s="97">
        <f t="shared" si="170"/>
        <v>5.542539292537052E-2</v>
      </c>
      <c r="Y199" s="4">
        <v>802.44077503999995</v>
      </c>
      <c r="Z199" s="4">
        <f t="shared" si="161"/>
        <v>10021.531369864</v>
      </c>
      <c r="AA199" s="97">
        <f t="shared" si="189"/>
        <v>1.4154550716991565E-2</v>
      </c>
      <c r="AB199" s="97">
        <f t="shared" si="171"/>
        <v>-2.3479548743492007E-2</v>
      </c>
      <c r="AC199" s="4">
        <v>256.15636999999998</v>
      </c>
      <c r="AD199" s="4">
        <f t="shared" si="202"/>
        <v>0.1076042457051366</v>
      </c>
      <c r="AE199" s="4">
        <v>83.987985768999991</v>
      </c>
      <c r="AF199" s="4">
        <f t="shared" si="203"/>
        <v>3.5281042813680538E-2</v>
      </c>
      <c r="AG199" s="4">
        <v>460.25732185499999</v>
      </c>
      <c r="AH199" s="4">
        <f t="shared" si="204"/>
        <v>74.07346810099628</v>
      </c>
      <c r="AI199" s="4">
        <v>298.21306867799996</v>
      </c>
      <c r="AJ199" s="4">
        <f t="shared" si="205"/>
        <v>42.88908083197142</v>
      </c>
      <c r="AK199" s="101">
        <f>SUMIFS($AJ$3:$AJ199,$D$3:$D199,D199)</f>
        <v>211.84088921702809</v>
      </c>
      <c r="AL199" s="4">
        <v>0</v>
      </c>
      <c r="AM199" s="4">
        <f t="shared" si="206"/>
        <v>0</v>
      </c>
      <c r="AN199" s="101">
        <f>SUMIFS($AM$3:$AM199,$D$3:$D199,D199)</f>
        <v>106.40941023842041</v>
      </c>
      <c r="AO199" s="4">
        <f t="shared" si="219"/>
        <v>162.04425317700003</v>
      </c>
      <c r="AP199" s="56">
        <v>2898.4335121139993</v>
      </c>
      <c r="AQ199" s="4">
        <f t="shared" si="207"/>
        <v>1.2175521998438565</v>
      </c>
      <c r="AR199" s="4">
        <f>SUMIFS($AP$3:$AP199,$D$3:$D199,D199)</f>
        <v>13314.104410010999</v>
      </c>
      <c r="AS199" s="4">
        <f t="shared" si="162"/>
        <v>32126.408503659997</v>
      </c>
      <c r="AT199" s="97">
        <f t="shared" si="172"/>
        <v>0.22807157344729245</v>
      </c>
      <c r="AU199" s="97">
        <f t="shared" si="173"/>
        <v>0.10850825816331455</v>
      </c>
      <c r="AV199" s="98">
        <f t="shared" si="197"/>
        <v>9.1584776702223758E-2</v>
      </c>
      <c r="AW199" s="4">
        <v>1287.8192496469997</v>
      </c>
      <c r="AX199" s="4">
        <f>SUMIFS($AW$3:$AW199,$D$3:$D199,D199)</f>
        <v>6166.328533988999</v>
      </c>
      <c r="AY199" s="4">
        <f t="shared" si="163"/>
        <v>15610.489270554999</v>
      </c>
      <c r="AZ199" s="97">
        <f t="shared" si="174"/>
        <v>0.10217353994737755</v>
      </c>
      <c r="BA199" s="97">
        <f t="shared" si="175"/>
        <v>6.612627195463916E-2</v>
      </c>
      <c r="BB199" s="97">
        <f t="shared" si="190"/>
        <v>6.9974396470025235E-2</v>
      </c>
      <c r="BC199" s="4">
        <v>928.73338718000002</v>
      </c>
      <c r="BD199" s="4">
        <f t="shared" si="220"/>
        <v>359.08586246699963</v>
      </c>
      <c r="BE199" s="4">
        <v>306.45443627099996</v>
      </c>
      <c r="BF199" s="4">
        <v>171.50266533799999</v>
      </c>
      <c r="BG199" s="4">
        <f t="shared" si="208"/>
        <v>24.665557781179388</v>
      </c>
      <c r="BH199" s="4">
        <f>Datos1[[#This Row],[Intereses]]/Datos1[[#This Row],[PIB nominal (miles de millones de G.)]]*100</f>
        <v>7.2043552694457558E-2</v>
      </c>
      <c r="BI199" s="4">
        <v>479.88543958700001</v>
      </c>
      <c r="BJ199" s="4">
        <v>472.26558760899997</v>
      </c>
      <c r="BK199" s="4">
        <v>180.50613366200002</v>
      </c>
      <c r="BL199" s="56">
        <f t="shared" si="209"/>
        <v>181.43697513400048</v>
      </c>
      <c r="BM199" s="56">
        <f>SUMIFS($BL$3:$BL199,$D$3:$D199,D199)</f>
        <v>769.8448154090006</v>
      </c>
      <c r="BN199" s="56">
        <f t="shared" si="194"/>
        <v>1480.0593795630011</v>
      </c>
      <c r="BO199" s="100">
        <f t="shared" si="176"/>
        <v>-0.69175469607038054</v>
      </c>
      <c r="BP199" s="100">
        <f t="shared" si="177"/>
        <v>-0.23062573979041334</v>
      </c>
      <c r="BQ199" s="100">
        <f t="shared" si="185"/>
        <v>-0.47335736324437905</v>
      </c>
      <c r="BR199" s="2">
        <f t="shared" si="210"/>
        <v>7.6216683006226832E-2</v>
      </c>
      <c r="BS199" s="2">
        <f>+Datos1[[#This Row],[RON acumulado 12 meses]]/Datos1[[#This Row],[PIB nominal (miles de millones de G.)]]*100</f>
        <v>0.62173223776043218</v>
      </c>
      <c r="BT199" s="56">
        <v>480.88729044500002</v>
      </c>
      <c r="BU199" s="56">
        <f>SUMIFS($BT$3:$BT199,$D$3:$D199,D199)</f>
        <v>1771.9915408899997</v>
      </c>
      <c r="BV199" s="56">
        <f t="shared" si="164"/>
        <v>4788.102965395</v>
      </c>
      <c r="BW199" s="100">
        <f t="shared" si="178"/>
        <v>3.839374495540171E-2</v>
      </c>
      <c r="BX199" s="100">
        <f t="shared" si="179"/>
        <v>5.9882083137644981E-2</v>
      </c>
      <c r="BY199" s="100">
        <f t="shared" si="186"/>
        <v>-5.3863718687534812E-2</v>
      </c>
      <c r="BZ199" s="56">
        <f t="shared" si="211"/>
        <v>69.161334754357384</v>
      </c>
      <c r="CA199" s="56">
        <f>Datos1[[#This Row],[Adquisición Neta de Activos no Financieros]]/Datos1[[#This Row],[PIB nominal (miles de millones de G.)]]*100</f>
        <v>0.2020075243786488</v>
      </c>
      <c r="CB199" s="56">
        <f>+Datos1[[#This Row],[ANANF acumulado por año]]/Datos1[[#This Row],[PIB nominal (miles de millones de G.)]]*100</f>
        <v>0.74436490942368982</v>
      </c>
      <c r="CC199" s="56">
        <f>+Datos1[[#This Row],[ANANF acumulado 12 meses]]/Datos1[[#This Row],[PIB nominal (miles de millones de G.)]]*100</f>
        <v>2.0113503636464589</v>
      </c>
      <c r="CD199" s="4">
        <v>312.88228241299993</v>
      </c>
      <c r="CE199" s="4">
        <f t="shared" si="212"/>
        <v>44.998810953494747</v>
      </c>
      <c r="CF199" s="4">
        <f t="shared" si="213"/>
        <v>168.00500803200009</v>
      </c>
      <c r="CG199" s="4">
        <f t="shared" si="214"/>
        <v>24.162523800862644</v>
      </c>
      <c r="CH199" s="56">
        <f t="shared" si="215"/>
        <v>-299.45031531099954</v>
      </c>
      <c r="CI199" s="56">
        <f>SUMIFS($CH$3:$CH199,$D$3:$D199,D199)</f>
        <v>-1002.1467254809993</v>
      </c>
      <c r="CJ199" s="56">
        <f t="shared" si="195"/>
        <v>-3308.0435858319988</v>
      </c>
      <c r="CK199" s="56">
        <f>Datos1[[#This Row],[Resultado Fiscal (miles de millones de G.)]]*1000/$F$207</f>
        <v>-43.067021963414923</v>
      </c>
      <c r="CL199" s="56">
        <f t="shared" si="165"/>
        <v>-475.7636859356727</v>
      </c>
      <c r="CM199" s="100">
        <f t="shared" si="180"/>
        <v>-3.3859554357538668</v>
      </c>
      <c r="CN199" s="100">
        <f t="shared" si="181"/>
        <v>0.49292374704985265</v>
      </c>
      <c r="CO199" s="100">
        <f t="shared" si="187"/>
        <v>0.4700305470774111</v>
      </c>
      <c r="CP199" s="4">
        <f t="shared" si="216"/>
        <v>-0.12579084137242197</v>
      </c>
      <c r="CQ199" s="4">
        <f t="shared" si="196"/>
        <v>-1.3896181258860265</v>
      </c>
      <c r="CR199" s="73">
        <v>1376.756589031</v>
      </c>
      <c r="CS199" s="113">
        <f>SUM(Datos1[[#This Row],[FFPP]:[MTESS]])</f>
        <v>0</v>
      </c>
      <c r="CT199" s="113"/>
      <c r="CU199" s="113"/>
      <c r="CV199" s="113"/>
      <c r="CW199" s="113"/>
      <c r="CX199" s="113"/>
      <c r="CY199" s="113"/>
      <c r="CZ199" s="113"/>
    </row>
    <row r="200" spans="1:104">
      <c r="A200">
        <v>198</v>
      </c>
      <c r="B200" s="3">
        <v>43617</v>
      </c>
      <c r="C200" s="14" t="str">
        <f t="shared" si="198"/>
        <v>Junio</v>
      </c>
      <c r="D200" s="14">
        <f t="shared" si="217"/>
        <v>2019</v>
      </c>
      <c r="E200" s="15">
        <f t="shared" si="199"/>
        <v>238054.14769779114</v>
      </c>
      <c r="F200" s="15">
        <f t="shared" si="200"/>
        <v>6213.5246756295674</v>
      </c>
      <c r="G200" s="56">
        <v>2411.384509514</v>
      </c>
      <c r="H200" s="4">
        <f t="shared" si="218"/>
        <v>1.0129563096607934</v>
      </c>
      <c r="I200" s="4">
        <f>SUMIFS($G$3:$G200,$D$3:$D200,D200)</f>
        <v>16495.333734934</v>
      </c>
      <c r="J200" s="2">
        <f t="shared" si="159"/>
        <v>33500.390731801999</v>
      </c>
      <c r="K200" s="95">
        <f t="shared" si="166"/>
        <v>6.2234292338175567E-2</v>
      </c>
      <c r="L200" s="95">
        <f t="shared" si="167"/>
        <v>-4.2136550902468262E-2</v>
      </c>
      <c r="M200" s="95">
        <f t="shared" si="182"/>
        <v>3.3979674338462384E-2</v>
      </c>
      <c r="N200" s="4">
        <f>+'Situfin serie mensual'!GQ4</f>
        <v>1694.7280754199999</v>
      </c>
      <c r="O200" s="4">
        <f t="shared" si="201"/>
        <v>0.71190865263622749</v>
      </c>
      <c r="P200" s="4">
        <f>SUMIFS($N$3:$N200,$D$3:$D200,D200)</f>
        <v>11428.365834704</v>
      </c>
      <c r="Q200" s="4">
        <f t="shared" si="193"/>
        <v>23347.169057749998</v>
      </c>
      <c r="R200" s="97">
        <f t="shared" si="168"/>
        <v>-6.4585426187954487E-2</v>
      </c>
      <c r="S200" s="97">
        <f t="shared" si="169"/>
        <v>1.8728181412247302E-2</v>
      </c>
      <c r="T200" s="97">
        <f t="shared" si="183"/>
        <v>2.7857824502373951E-2</v>
      </c>
      <c r="U200" s="4">
        <v>1053.529647758</v>
      </c>
      <c r="V200" s="4">
        <f t="shared" si="160"/>
        <v>13426.364431026001</v>
      </c>
      <c r="W200" s="97">
        <f t="shared" si="188"/>
        <v>5.7847855679771909E-2</v>
      </c>
      <c r="X200" s="97">
        <f t="shared" si="170"/>
        <v>7.2344377273655391E-2</v>
      </c>
      <c r="Y200" s="4">
        <v>661.82427110899994</v>
      </c>
      <c r="Z200" s="4">
        <f t="shared" si="161"/>
        <v>9865.6419075379999</v>
      </c>
      <c r="AA200" s="97">
        <f t="shared" si="189"/>
        <v>-1.1669704521115709E-2</v>
      </c>
      <c r="AB200" s="97">
        <f t="shared" si="171"/>
        <v>-0.19064063125263853</v>
      </c>
      <c r="AC200" s="4">
        <v>162.803995727</v>
      </c>
      <c r="AD200" s="4">
        <f t="shared" si="202"/>
        <v>6.8389480839325292E-2</v>
      </c>
      <c r="AE200" s="4">
        <v>92.644744306999996</v>
      </c>
      <c r="AF200" s="4">
        <f t="shared" si="203"/>
        <v>3.8917508979768818E-2</v>
      </c>
      <c r="AG200" s="4">
        <v>461.20769405999999</v>
      </c>
      <c r="AH200" s="4">
        <f t="shared" si="204"/>
        <v>74.226420290713577</v>
      </c>
      <c r="AI200" s="4">
        <v>284.53359984400004</v>
      </c>
      <c r="AJ200" s="4">
        <f t="shared" si="205"/>
        <v>40.921696078644743</v>
      </c>
      <c r="AK200" s="101">
        <f>SUMIFS($AJ$3:$AJ200,$D$3:$D200,D200)</f>
        <v>252.76258529567284</v>
      </c>
      <c r="AL200" s="4">
        <v>0</v>
      </c>
      <c r="AM200" s="4">
        <f t="shared" si="206"/>
        <v>0</v>
      </c>
      <c r="AN200" s="101">
        <f>SUMIFS($AM$3:$AM200,$D$3:$D200,D200)</f>
        <v>106.40941023842041</v>
      </c>
      <c r="AO200" s="4">
        <f t="shared" si="219"/>
        <v>176.67409421599996</v>
      </c>
      <c r="AP200" s="56">
        <v>2389.9573797580001</v>
      </c>
      <c r="AQ200" s="4">
        <f t="shared" si="207"/>
        <v>1.0039553617826655</v>
      </c>
      <c r="AR200" s="4">
        <f>SUMIFS($AP$3:$AP200,$D$3:$D200,D200)</f>
        <v>15704.061789768999</v>
      </c>
      <c r="AS200" s="4">
        <f t="shared" si="162"/>
        <v>32092.908005982998</v>
      </c>
      <c r="AT200" s="97">
        <f t="shared" si="172"/>
        <v>-1.3823428906656776E-2</v>
      </c>
      <c r="AU200" s="97">
        <f t="shared" si="173"/>
        <v>8.7969268633568465E-2</v>
      </c>
      <c r="AV200" s="98">
        <f t="shared" si="197"/>
        <v>8.2070691532234674E-2</v>
      </c>
      <c r="AW200" s="4">
        <v>1278.82134408</v>
      </c>
      <c r="AX200" s="4">
        <f>SUMIFS($AW$3:$AW200,$D$3:$D200,D200)</f>
        <v>7445.149878068999</v>
      </c>
      <c r="AY200" s="4">
        <f t="shared" si="163"/>
        <v>15711.052330495</v>
      </c>
      <c r="AZ200" s="97">
        <f t="shared" si="174"/>
        <v>8.5348909737053003E-2</v>
      </c>
      <c r="BA200" s="97">
        <f t="shared" si="175"/>
        <v>6.9379480361204449E-2</v>
      </c>
      <c r="BB200" s="97">
        <f t="shared" si="190"/>
        <v>7.9198438814628735E-2</v>
      </c>
      <c r="BC200" s="4">
        <v>928.249996076</v>
      </c>
      <c r="BD200" s="4">
        <f t="shared" si="220"/>
        <v>350.57134800400001</v>
      </c>
      <c r="BE200" s="4">
        <v>236.34724309100002</v>
      </c>
      <c r="BF200" s="4">
        <v>23.951952265999999</v>
      </c>
      <c r="BG200" s="4">
        <f t="shared" si="208"/>
        <v>3.4447759830713958</v>
      </c>
      <c r="BH200" s="4">
        <f>Datos1[[#This Row],[Intereses]]/Datos1[[#This Row],[PIB nominal (miles de millones de G.)]]*100</f>
        <v>1.0061556371791057E-2</v>
      </c>
      <c r="BI200" s="4">
        <v>363.79653158299999</v>
      </c>
      <c r="BJ200" s="4">
        <v>413.47083427100006</v>
      </c>
      <c r="BK200" s="4">
        <v>73.569474467000006</v>
      </c>
      <c r="BL200" s="56">
        <f t="shared" si="209"/>
        <v>21.427129755999886</v>
      </c>
      <c r="BM200" s="56">
        <f>SUMIFS($BL$3:$BL200,$D$3:$D200,D200)</f>
        <v>791.27194516500049</v>
      </c>
      <c r="BN200" s="56">
        <f t="shared" si="194"/>
        <v>1407.4827258190012</v>
      </c>
      <c r="BO200" s="100">
        <f t="shared" si="176"/>
        <v>-0.77206098565171133</v>
      </c>
      <c r="BP200" s="100">
        <f t="shared" si="177"/>
        <v>-0.27712331514130073</v>
      </c>
      <c r="BQ200" s="100">
        <f t="shared" si="185"/>
        <v>-0.48644702932530914</v>
      </c>
      <c r="BR200" s="2">
        <f t="shared" si="210"/>
        <v>9.0009478781279406E-3</v>
      </c>
      <c r="BS200" s="2">
        <f>+Datos1[[#This Row],[RON acumulado 12 meses]]/Datos1[[#This Row],[PIB nominal (miles de millones de G.)]]*100</f>
        <v>0.59124478167286343</v>
      </c>
      <c r="BT200" s="56">
        <v>455.52925106500004</v>
      </c>
      <c r="BU200" s="56">
        <f>SUMIFS($BT$3:$BT200,$D$3:$D200,D200)</f>
        <v>2227.5207919549998</v>
      </c>
      <c r="BV200" s="56">
        <f t="shared" si="164"/>
        <v>4872.074746586999</v>
      </c>
      <c r="BW200" s="100">
        <f t="shared" si="178"/>
        <v>0.22599944288753449</v>
      </c>
      <c r="BX200" s="100">
        <f t="shared" si="179"/>
        <v>9.008719785649788E-2</v>
      </c>
      <c r="BY200" s="100">
        <f t="shared" si="186"/>
        <v>-4.6948778743235331E-2</v>
      </c>
      <c r="BZ200" s="56">
        <f t="shared" si="211"/>
        <v>65.514334958102751</v>
      </c>
      <c r="CA200" s="56">
        <f>Datos1[[#This Row],[Adquisición Neta de Activos no Financieros]]/Datos1[[#This Row],[PIB nominal (miles de millones de G.)]]*100</f>
        <v>0.1913553094833251</v>
      </c>
      <c r="CB200" s="56">
        <f>+Datos1[[#This Row],[ANANF acumulado por año]]/Datos1[[#This Row],[PIB nominal (miles de millones de G.)]]*100</f>
        <v>0.93572021890701484</v>
      </c>
      <c r="CC200" s="56">
        <f>+Datos1[[#This Row],[ANANF acumulado 12 meses]]/Datos1[[#This Row],[PIB nominal (miles de millones de G.)]]*100</f>
        <v>2.0466245993630321</v>
      </c>
      <c r="CD200" s="4">
        <v>340.28993271500002</v>
      </c>
      <c r="CE200" s="4">
        <f t="shared" si="212"/>
        <v>48.940586323795962</v>
      </c>
      <c r="CF200" s="4">
        <f t="shared" si="213"/>
        <v>115.23931835000002</v>
      </c>
      <c r="CG200" s="4">
        <f t="shared" si="214"/>
        <v>16.573748634306789</v>
      </c>
      <c r="CH200" s="56">
        <f t="shared" si="215"/>
        <v>-434.10212130900015</v>
      </c>
      <c r="CI200" s="56">
        <f>SUMIFS($CH$3:$CH200,$D$3:$D200,D200)</f>
        <v>-1436.2488467899993</v>
      </c>
      <c r="CJ200" s="56">
        <f t="shared" si="195"/>
        <v>-3464.5920207679987</v>
      </c>
      <c r="CK200" s="56">
        <f>Datos1[[#This Row],[Resultado Fiscal (miles de millones de G.)]]*1000/$F$207</f>
        <v>-62.432679602835563</v>
      </c>
      <c r="CL200" s="56">
        <f t="shared" si="165"/>
        <v>-498.2785224244065</v>
      </c>
      <c r="CM200" s="100">
        <f t="shared" si="180"/>
        <v>0.56402938466332153</v>
      </c>
      <c r="CN200" s="100">
        <f t="shared" si="181"/>
        <v>0.51372397194596231</v>
      </c>
      <c r="CO200" s="100">
        <f t="shared" si="187"/>
        <v>0.46098775963504757</v>
      </c>
      <c r="CP200" s="4">
        <f t="shared" si="216"/>
        <v>-0.18235436160519716</v>
      </c>
      <c r="CQ200" s="4">
        <f t="shared" si="196"/>
        <v>-1.4553798176901693</v>
      </c>
      <c r="CR200" s="73">
        <v>1361.9794424260001</v>
      </c>
      <c r="CS200" s="113">
        <f>SUM(Datos1[[#This Row],[FFPP]:[MTESS]])</f>
        <v>0</v>
      </c>
      <c r="CT200" s="113"/>
      <c r="CU200" s="113"/>
      <c r="CV200" s="113"/>
      <c r="CW200" s="113"/>
      <c r="CX200" s="113"/>
      <c r="CY200" s="113"/>
      <c r="CZ200" s="113"/>
    </row>
    <row r="201" spans="1:104">
      <c r="A201">
        <v>199</v>
      </c>
      <c r="B201" s="13">
        <v>43647</v>
      </c>
      <c r="C201" s="14" t="str">
        <f t="shared" si="198"/>
        <v>Julio</v>
      </c>
      <c r="D201" s="14">
        <f t="shared" si="217"/>
        <v>2019</v>
      </c>
      <c r="E201" s="15">
        <f t="shared" si="199"/>
        <v>238054.14769779114</v>
      </c>
      <c r="F201" s="15">
        <f t="shared" si="200"/>
        <v>6213.5246756295674</v>
      </c>
      <c r="G201" s="56">
        <v>3081.9111817180005</v>
      </c>
      <c r="H201" s="4">
        <f t="shared" si="218"/>
        <v>1.2946261224696136</v>
      </c>
      <c r="I201" s="4">
        <f>SUMIFS($G$3:$G201,$D$3:$D201,D201)</f>
        <v>19577.244916652002</v>
      </c>
      <c r="J201" s="2">
        <f t="shared" si="159"/>
        <v>33609.299978520998</v>
      </c>
      <c r="K201" s="95">
        <f t="shared" si="166"/>
        <v>5.8120476849119029E-2</v>
      </c>
      <c r="L201" s="95">
        <f t="shared" si="167"/>
        <v>3.6632753392081829E-2</v>
      </c>
      <c r="M201" s="95">
        <f t="shared" si="182"/>
        <v>2.9104949625615939E-2</v>
      </c>
      <c r="N201" s="4">
        <f>+'Situfin serie mensual'!GR4</f>
        <v>2286.967802267</v>
      </c>
      <c r="O201" s="4">
        <f t="shared" si="201"/>
        <v>0.96069227290687553</v>
      </c>
      <c r="P201" s="4">
        <f>SUMIFS($N$3:$N201,$D$3:$D201,D201)</f>
        <v>13715.333636971</v>
      </c>
      <c r="Q201" s="4">
        <f t="shared" si="193"/>
        <v>23429.341224854001</v>
      </c>
      <c r="R201" s="97">
        <f t="shared" si="168"/>
        <v>3.7269743187751336E-2</v>
      </c>
      <c r="S201" s="97">
        <f t="shared" si="169"/>
        <v>2.1773712250381605E-2</v>
      </c>
      <c r="T201" s="97">
        <f t="shared" si="183"/>
        <v>2.4173718629282304E-2</v>
      </c>
      <c r="U201" s="4">
        <v>1423.4666229859999</v>
      </c>
      <c r="V201" s="4">
        <f t="shared" si="160"/>
        <v>13436.073825631</v>
      </c>
      <c r="W201" s="97">
        <f t="shared" si="188"/>
        <v>4.9552277129223388E-2</v>
      </c>
      <c r="X201" s="97">
        <f t="shared" si="170"/>
        <v>6.8677948448891968E-3</v>
      </c>
      <c r="Y201" s="4">
        <v>858.58015104599997</v>
      </c>
      <c r="Z201" s="4">
        <f t="shared" si="161"/>
        <v>9912.4930269390006</v>
      </c>
      <c r="AA201" s="97">
        <f t="shared" si="189"/>
        <v>-1.450627451361608E-2</v>
      </c>
      <c r="AB201" s="97">
        <f t="shared" si="171"/>
        <v>5.7717683579770585E-2</v>
      </c>
      <c r="AC201" s="4">
        <v>171.94320006200002</v>
      </c>
      <c r="AD201" s="4">
        <f t="shared" si="202"/>
        <v>7.2228609215530773E-2</v>
      </c>
      <c r="AE201" s="4">
        <v>123.256818979</v>
      </c>
      <c r="AF201" s="4">
        <f t="shared" si="203"/>
        <v>5.1776799594130188E-2</v>
      </c>
      <c r="AG201" s="4">
        <v>499.74336041000004</v>
      </c>
      <c r="AH201" s="4">
        <f t="shared" si="204"/>
        <v>80.428321524186273</v>
      </c>
      <c r="AI201" s="4">
        <v>258.86033560599998</v>
      </c>
      <c r="AJ201" s="4">
        <f t="shared" si="205"/>
        <v>37.229360561608516</v>
      </c>
      <c r="AK201" s="101">
        <f>SUMIFS($AJ$3:$AJ201,$D$3:$D201,D201)</f>
        <v>289.99194585728134</v>
      </c>
      <c r="AL201" s="4">
        <v>23.502358483999998</v>
      </c>
      <c r="AM201" s="4">
        <f t="shared" si="206"/>
        <v>3.3801152888126524</v>
      </c>
      <c r="AN201" s="101">
        <f>SUMIFS($AM$3:$AM201,$D$3:$D201,D201)</f>
        <v>109.78952552723305</v>
      </c>
      <c r="AO201" s="4">
        <f t="shared" si="219"/>
        <v>217.38066632000005</v>
      </c>
      <c r="AP201" s="56">
        <v>2672.3206316379992</v>
      </c>
      <c r="AQ201" s="4">
        <f t="shared" si="207"/>
        <v>1.1225683977707881</v>
      </c>
      <c r="AR201" s="4">
        <f>SUMIFS($AP$3:$AP201,$D$3:$D201,D201)</f>
        <v>18376.382421406997</v>
      </c>
      <c r="AS201" s="4">
        <f t="shared" si="162"/>
        <v>32328.268050646999</v>
      </c>
      <c r="AT201" s="97">
        <f t="shared" si="172"/>
        <v>9.6579339822745469E-2</v>
      </c>
      <c r="AU201" s="97">
        <f t="shared" si="173"/>
        <v>8.9212946835289797E-2</v>
      </c>
      <c r="AV201" s="98">
        <f t="shared" si="197"/>
        <v>8.3566157118400541E-2</v>
      </c>
      <c r="AW201" s="4">
        <v>1283.7571486079996</v>
      </c>
      <c r="AX201" s="4">
        <f>SUMIFS($AW$3:$AW201,$D$3:$D201,D201)</f>
        <v>8728.9070266769995</v>
      </c>
      <c r="AY201" s="4">
        <f t="shared" si="163"/>
        <v>15805.880392483001</v>
      </c>
      <c r="AZ201" s="97">
        <f t="shared" si="174"/>
        <v>7.9759224545162599E-2</v>
      </c>
      <c r="BA201" s="97">
        <f t="shared" si="175"/>
        <v>7.0893491301522005E-2</v>
      </c>
      <c r="BB201" s="97">
        <f t="shared" si="190"/>
        <v>7.700610629765392E-2</v>
      </c>
      <c r="BC201" s="4">
        <v>931.61680617599995</v>
      </c>
      <c r="BD201" s="4">
        <f t="shared" si="220"/>
        <v>352.14034243199967</v>
      </c>
      <c r="BE201" s="4">
        <v>243.10188365299999</v>
      </c>
      <c r="BF201" s="4">
        <v>141.54476723300002</v>
      </c>
      <c r="BG201" s="4">
        <f t="shared" si="208"/>
        <v>20.357005110844668</v>
      </c>
      <c r="BH201" s="4">
        <f>Datos1[[#This Row],[Intereses]]/Datos1[[#This Row],[PIB nominal (miles de millones de G.)]]*100</f>
        <v>5.9459063663402575E-2</v>
      </c>
      <c r="BI201" s="4">
        <v>377.14054980999998</v>
      </c>
      <c r="BJ201" s="4">
        <v>473.00049294600001</v>
      </c>
      <c r="BK201" s="4">
        <v>153.77578938799999</v>
      </c>
      <c r="BL201" s="56">
        <f t="shared" si="209"/>
        <v>409.59055008000132</v>
      </c>
      <c r="BM201" s="56">
        <f>SUMIFS($BL$3:$BL201,$D$3:$D201,D201)</f>
        <v>1200.8624952450018</v>
      </c>
      <c r="BN201" s="56">
        <f t="shared" si="194"/>
        <v>1281.0319278740026</v>
      </c>
      <c r="BO201" s="100">
        <f t="shared" si="176"/>
        <v>-0.23589747024347307</v>
      </c>
      <c r="BP201" s="100">
        <f t="shared" si="177"/>
        <v>-0.26357125544577154</v>
      </c>
      <c r="BQ201" s="100">
        <f t="shared" si="185"/>
        <v>-0.54632891588316546</v>
      </c>
      <c r="BR201" s="2">
        <f t="shared" si="210"/>
        <v>0.17205772469882566</v>
      </c>
      <c r="BS201" s="2">
        <f>+Datos1[[#This Row],[RON acumulado 12 meses]]/Datos1[[#This Row],[PIB nominal (miles de millones de G.)]]*100</f>
        <v>0.53812627936240276</v>
      </c>
      <c r="BT201" s="56">
        <v>518.73203081999998</v>
      </c>
      <c r="BU201" s="56">
        <f>SUMIFS($BT$3:$BT201,$D$3:$D201,D201)</f>
        <v>2746.2528227749999</v>
      </c>
      <c r="BV201" s="56">
        <f t="shared" si="164"/>
        <v>4908.681366372999</v>
      </c>
      <c r="BW201" s="100">
        <f t="shared" si="178"/>
        <v>7.5927588441129457E-2</v>
      </c>
      <c r="BX201" s="100">
        <f t="shared" si="179"/>
        <v>8.7384149732490535E-2</v>
      </c>
      <c r="BY201" s="100">
        <f t="shared" si="186"/>
        <v>-7.4404529228682792E-2</v>
      </c>
      <c r="BZ201" s="56">
        <f t="shared" si="211"/>
        <v>74.604175124176791</v>
      </c>
      <c r="CA201" s="56">
        <f>Datos1[[#This Row],[Adquisición Neta de Activos no Financieros]]/Datos1[[#This Row],[PIB nominal (miles de millones de G.)]]*100</f>
        <v>0.2179050589274035</v>
      </c>
      <c r="CB201" s="56">
        <f>+Datos1[[#This Row],[ANANF acumulado por año]]/Datos1[[#This Row],[PIB nominal (miles de millones de G.)]]*100</f>
        <v>1.1536252778344185</v>
      </c>
      <c r="CC201" s="56">
        <f>+Datos1[[#This Row],[ANANF acumulado 12 meses]]/Datos1[[#This Row],[PIB nominal (miles de millones de G.)]]*100</f>
        <v>2.0620020335056508</v>
      </c>
      <c r="CD201" s="4">
        <v>377.81321388800006</v>
      </c>
      <c r="CE201" s="4">
        <f t="shared" si="212"/>
        <v>54.337194347863807</v>
      </c>
      <c r="CF201" s="4">
        <f t="shared" si="213"/>
        <v>140.91881693199991</v>
      </c>
      <c r="CG201" s="4">
        <f t="shared" si="214"/>
        <v>20.266980776312977</v>
      </c>
      <c r="CH201" s="56">
        <f t="shared" si="215"/>
        <v>-109.14148073999866</v>
      </c>
      <c r="CI201" s="56">
        <f>SUMIFS($CH$3:$CH201,$D$3:$D201,D201)</f>
        <v>-1545.3903275299981</v>
      </c>
      <c r="CJ201" s="56">
        <f t="shared" si="195"/>
        <v>-3627.6494384989974</v>
      </c>
      <c r="CK201" s="56">
        <f>Datos1[[#This Row],[Resultado Fiscal (miles de millones de G.)]]*1000/$F$207</f>
        <v>-15.696756048720355</v>
      </c>
      <c r="CL201" s="56">
        <f t="shared" si="165"/>
        <v>-521.72948250579896</v>
      </c>
      <c r="CM201" s="100">
        <f t="shared" si="180"/>
        <v>-3.0242897894590506</v>
      </c>
      <c r="CN201" s="100">
        <f t="shared" si="181"/>
        <v>0.7268816942849361</v>
      </c>
      <c r="CO201" s="100">
        <f t="shared" si="187"/>
        <v>0.46301753803911239</v>
      </c>
      <c r="CP201" s="4">
        <f t="shared" si="216"/>
        <v>-4.5847334228577848E-2</v>
      </c>
      <c r="CQ201" s="4">
        <f t="shared" si="196"/>
        <v>-1.5238757541432486</v>
      </c>
      <c r="CR201" s="73">
        <v>1372.021115387</v>
      </c>
      <c r="CS201" s="113">
        <f>SUM(Datos1[[#This Row],[FFPP]:[MTESS]])</f>
        <v>0</v>
      </c>
      <c r="CT201" s="113"/>
      <c r="CU201" s="113"/>
      <c r="CV201" s="113"/>
      <c r="CW201" s="113"/>
      <c r="CX201" s="113"/>
      <c r="CY201" s="113"/>
      <c r="CZ201" s="113"/>
    </row>
    <row r="202" spans="1:104">
      <c r="A202">
        <v>200</v>
      </c>
      <c r="B202" s="13">
        <v>43678</v>
      </c>
      <c r="C202" s="82" t="str">
        <f t="shared" si="198"/>
        <v>Agosto</v>
      </c>
      <c r="D202" s="82">
        <f t="shared" si="217"/>
        <v>2019</v>
      </c>
      <c r="E202" s="15">
        <f t="shared" si="199"/>
        <v>238054.14769779114</v>
      </c>
      <c r="F202" s="15">
        <f t="shared" si="200"/>
        <v>6213.5246756295674</v>
      </c>
      <c r="G202" s="56">
        <f>+'Situfin serie mensual'!GS2</f>
        <v>2503.4922681429998</v>
      </c>
      <c r="H202" s="4">
        <f t="shared" si="218"/>
        <v>1.0516482457265033</v>
      </c>
      <c r="I202" s="4">
        <f>SUMIFS($G$3:$G202,$D$3:$D202,D202)</f>
        <v>22080.737184795002</v>
      </c>
      <c r="J202" s="2">
        <f t="shared" si="159"/>
        <v>33588.077824289998</v>
      </c>
      <c r="K202" s="95">
        <f t="shared" si="166"/>
        <v>5.0132518625350952E-2</v>
      </c>
      <c r="L202" s="95">
        <f t="shared" si="167"/>
        <v>-8.4057642491878193E-3</v>
      </c>
      <c r="M202" s="95">
        <f t="shared" si="182"/>
        <v>3.4259433671920858E-2</v>
      </c>
      <c r="N202" s="4">
        <f>+'Situfin serie mensual'!GS4</f>
        <v>1808.9843542450001</v>
      </c>
      <c r="O202" s="4">
        <f t="shared" si="201"/>
        <v>0.75990457286276691</v>
      </c>
      <c r="P202" s="4">
        <f>SUMIFS($N$3:$N202,$D$3:$D202,D202)</f>
        <v>15524.317991215999</v>
      </c>
      <c r="Q202" s="4">
        <f t="shared" si="193"/>
        <v>23355.996896432</v>
      </c>
      <c r="R202" s="97">
        <f t="shared" si="168"/>
        <v>-3.8964676624956507E-2</v>
      </c>
      <c r="S202" s="97">
        <f t="shared" si="169"/>
        <v>1.4303821339769041E-2</v>
      </c>
      <c r="T202" s="97">
        <f t="shared" si="183"/>
        <v>1.7349462266863513E-2</v>
      </c>
      <c r="U202" s="4">
        <v>920.73618779500021</v>
      </c>
      <c r="V202" s="4">
        <f t="shared" si="160"/>
        <v>13489.009511730001</v>
      </c>
      <c r="W202" s="97">
        <f t="shared" si="188"/>
        <v>5.8005410516670075E-2</v>
      </c>
      <c r="X202" s="97">
        <f t="shared" si="170"/>
        <v>6.0999833481940158E-2</v>
      </c>
      <c r="Y202" s="4">
        <v>841.21878613600006</v>
      </c>
      <c r="Z202" s="4">
        <f t="shared" si="161"/>
        <v>9793.2231311609994</v>
      </c>
      <c r="AA202" s="97">
        <f t="shared" si="189"/>
        <v>-3.3486217657256456E-2</v>
      </c>
      <c r="AB202" s="97">
        <f t="shared" si="171"/>
        <v>-0.12417626362897527</v>
      </c>
      <c r="AC202" s="4">
        <f>+'Situfin serie mensual'!GS13</f>
        <v>190.19170797799998</v>
      </c>
      <c r="AD202" s="4">
        <f t="shared" si="202"/>
        <v>7.9894305483577482E-2</v>
      </c>
      <c r="AE202" s="4">
        <f>+'Situfin serie mensual'!GS15</f>
        <v>90.537329181999993</v>
      </c>
      <c r="AF202" s="4">
        <f t="shared" si="203"/>
        <v>3.8032241848160023E-2</v>
      </c>
      <c r="AG202" s="4">
        <f>+'Situfin serie mensual'!GS25</f>
        <v>413.77887673800001</v>
      </c>
      <c r="AH202" s="4">
        <f t="shared" si="204"/>
        <v>66.593262011319695</v>
      </c>
      <c r="AI202" s="4">
        <v>262.41622464</v>
      </c>
      <c r="AJ202" s="4">
        <f t="shared" si="205"/>
        <v>37.740769444139481</v>
      </c>
      <c r="AK202" s="101">
        <f>SUMIFS($AJ$3:$AJ202,$D$3:$D202,D202)</f>
        <v>327.7327153014208</v>
      </c>
      <c r="AL202" s="4">
        <v>0</v>
      </c>
      <c r="AM202" s="4">
        <f t="shared" si="206"/>
        <v>0</v>
      </c>
      <c r="AN202" s="101">
        <f>SUMIFS($AM$3:$AM202,$D$3:$D202,D202)</f>
        <v>109.78952552723305</v>
      </c>
      <c r="AO202" s="4">
        <f t="shared" si="219"/>
        <v>151.36265209800001</v>
      </c>
      <c r="AP202" s="56">
        <f>+'Situfin serie mensual'!GS34</f>
        <v>2760.295626087001</v>
      </c>
      <c r="AQ202" s="4">
        <f t="shared" si="207"/>
        <v>1.1595242732721407</v>
      </c>
      <c r="AR202" s="4">
        <f>SUMIFS($AP$3:$AP202,$D$3:$D202,D202)</f>
        <v>21136.678047493999</v>
      </c>
      <c r="AS202" s="4">
        <f t="shared" si="162"/>
        <v>32680.286479169998</v>
      </c>
      <c r="AT202" s="97">
        <f t="shared" si="172"/>
        <v>0.14617022860951034</v>
      </c>
      <c r="AU202" s="97">
        <f t="shared" si="173"/>
        <v>9.6327692512193641E-2</v>
      </c>
      <c r="AV202" s="98">
        <f t="shared" si="197"/>
        <v>9.2628154505440818E-2</v>
      </c>
      <c r="AW202" s="4">
        <f>+'Situfin serie mensual'!GS35</f>
        <v>1283.7917131130007</v>
      </c>
      <c r="AX202" s="4">
        <f>SUMIFS($AW$3:$AW202,$D$3:$D202,D202)</f>
        <v>10012.698739790001</v>
      </c>
      <c r="AY202" s="4">
        <f t="shared" si="163"/>
        <v>15922.827384875996</v>
      </c>
      <c r="AZ202" s="97">
        <f t="shared" si="174"/>
        <v>0.10022498308158667</v>
      </c>
      <c r="BA202" s="97">
        <f t="shared" si="175"/>
        <v>7.4566562868037423E-2</v>
      </c>
      <c r="BB202" s="97">
        <f t="shared" si="190"/>
        <v>7.7880801712322922E-2</v>
      </c>
      <c r="BC202" s="4">
        <v>933.79761771400001</v>
      </c>
      <c r="BD202" s="4">
        <f t="shared" si="220"/>
        <v>349.99409539900068</v>
      </c>
      <c r="BE202" s="4">
        <f>+'Situfin serie mensual'!GS36</f>
        <v>266.166215685</v>
      </c>
      <c r="BF202" s="4">
        <f>+'Situfin serie mensual'!GS41</f>
        <v>296.29074526099998</v>
      </c>
      <c r="BG202" s="4">
        <f t="shared" si="208"/>
        <v>42.612611779885953</v>
      </c>
      <c r="BH202" s="4">
        <f>Datos1[[#This Row],[Intereses]]/Datos1[[#This Row],[PIB nominal (miles de millones de G.)]]*100</f>
        <v>0.12446359289531891</v>
      </c>
      <c r="BI202" s="4">
        <f>+'Situfin serie mensual'!GS45</f>
        <v>356.06154876799997</v>
      </c>
      <c r="BJ202" s="4">
        <f>+'Situfin serie mensual'!GS55</f>
        <v>465.95867923299994</v>
      </c>
      <c r="BK202" s="4">
        <f>+'Situfin serie mensual'!GS59</f>
        <v>92.026724027000014</v>
      </c>
      <c r="BL202" s="56">
        <f>+'Situfin serie mensual'!GS71</f>
        <v>-256.80335794400116</v>
      </c>
      <c r="BM202" s="56">
        <f>SUMIFS($BL$3:$BL202,$D$3:$D202,D202)</f>
        <v>944.05913730100065</v>
      </c>
      <c r="BN202" s="56">
        <f t="shared" si="194"/>
        <v>907.79134512000155</v>
      </c>
      <c r="BO202" s="100">
        <f t="shared" si="176"/>
        <v>-3.2055090918136204</v>
      </c>
      <c r="BP202" s="100">
        <f t="shared" si="177"/>
        <v>-0.4596403188662388</v>
      </c>
      <c r="BQ202" s="100">
        <f t="shared" si="185"/>
        <v>-0.64618027306057868</v>
      </c>
      <c r="BR202" s="2">
        <f t="shared" si="210"/>
        <v>-0.10787602754563726</v>
      </c>
      <c r="BS202" s="2">
        <f>+Datos1[[#This Row],[RON acumulado 12 meses]]/Datos1[[#This Row],[PIB nominal (miles de millones de G.)]]*100</f>
        <v>0.38133817616672627</v>
      </c>
      <c r="BT202" s="56">
        <f>+'Situfin serie mensual'!GS74</f>
        <v>759.36310671900014</v>
      </c>
      <c r="BU202" s="56">
        <f>SUMIFS($BT$3:$BT202,$D$3:$D202,D202)</f>
        <v>3505.6159294939998</v>
      </c>
      <c r="BV202" s="56">
        <f t="shared" si="164"/>
        <v>5352.8287941540002</v>
      </c>
      <c r="BW202" s="100">
        <f t="shared" si="178"/>
        <v>1.4090270803704525</v>
      </c>
      <c r="BX202" s="100">
        <f t="shared" si="179"/>
        <v>0.23403519432018927</v>
      </c>
      <c r="BY202" s="100">
        <f t="shared" si="186"/>
        <v>5.513420139109626E-2</v>
      </c>
      <c r="BZ202" s="56">
        <f t="shared" si="211"/>
        <v>109.21179882983043</v>
      </c>
      <c r="CA202" s="56">
        <f>Datos1[[#This Row],[Adquisición Neta de Activos no Financieros]]/Datos1[[#This Row],[PIB nominal (miles de millones de G.)]]*100</f>
        <v>0.31898755558882713</v>
      </c>
      <c r="CB202" s="56">
        <f>+Datos1[[#This Row],[ANANF acumulado por año]]/Datos1[[#This Row],[PIB nominal (miles de millones de G.)]]*100</f>
        <v>1.4726128334232456</v>
      </c>
      <c r="CC202" s="56">
        <f>+Datos1[[#This Row],[ANANF acumulado 12 meses]]/Datos1[[#This Row],[PIB nominal (miles de millones de G.)]]*100</f>
        <v>2.2485761520733494</v>
      </c>
      <c r="CD202" s="4">
        <v>619.72675890699998</v>
      </c>
      <c r="CE202" s="4">
        <f t="shared" si="212"/>
        <v>89.129263094762663</v>
      </c>
      <c r="CF202" s="4">
        <f t="shared" si="213"/>
        <v>139.63634781200017</v>
      </c>
      <c r="CG202" s="4">
        <f t="shared" si="214"/>
        <v>20.082535735067761</v>
      </c>
      <c r="CH202" s="56">
        <f t="shared" si="215"/>
        <v>-1016.1664646630013</v>
      </c>
      <c r="CI202" s="56">
        <f>SUMIFS($CH$3:$CH202,$D$3:$D202,D202)</f>
        <v>-2561.5567921929996</v>
      </c>
      <c r="CJ202" s="56">
        <f t="shared" si="195"/>
        <v>-4445.0374490339982</v>
      </c>
      <c r="CK202" s="56">
        <f>Datos1[[#This Row],[Resultado Fiscal (miles de millones de G.)]]*1000/$F$207</f>
        <v>-146.14532433093635</v>
      </c>
      <c r="CL202" s="56">
        <f t="shared" si="165"/>
        <v>-639.28643804208809</v>
      </c>
      <c r="CM202" s="100">
        <f t="shared" si="180"/>
        <v>4.1120553740128072</v>
      </c>
      <c r="CN202" s="100">
        <f t="shared" si="181"/>
        <v>1.3421431536337858</v>
      </c>
      <c r="CO202" s="100">
        <f t="shared" si="187"/>
        <v>0.77274132672974427</v>
      </c>
      <c r="CP202" s="4">
        <f t="shared" si="216"/>
        <v>-0.42686358313446437</v>
      </c>
      <c r="CQ202" s="4">
        <f t="shared" si="196"/>
        <v>-1.8672379759066229</v>
      </c>
      <c r="CR202" s="81">
        <v>1369.4952653989999</v>
      </c>
      <c r="CS202" s="113">
        <f>SUM(Datos1[[#This Row],[FFPP]:[MTESS]])</f>
        <v>0</v>
      </c>
      <c r="CT202" s="113"/>
      <c r="CU202" s="113"/>
      <c r="CV202" s="113"/>
      <c r="CW202" s="113"/>
      <c r="CX202" s="113"/>
      <c r="CY202" s="113"/>
      <c r="CZ202" s="113"/>
    </row>
    <row r="203" spans="1:104">
      <c r="A203" s="77">
        <v>201</v>
      </c>
      <c r="B203" s="13">
        <v>43709</v>
      </c>
      <c r="C203" s="83" t="str">
        <f t="shared" ref="C203:C208" si="221">VLOOKUP(MONTH(B203),Meses,2,0)</f>
        <v>Septiembre</v>
      </c>
      <c r="D203" s="83">
        <f t="shared" ref="D203:D208" si="222">YEAR(B203)</f>
        <v>2019</v>
      </c>
      <c r="E203" s="84">
        <f t="shared" ref="E203:E208" si="223">VLOOKUP(D203,PIBNOMG,2,0)</f>
        <v>238054.14769779114</v>
      </c>
      <c r="F203" s="84">
        <f t="shared" ref="F203:F208" si="224">VLOOKUP(D203,cambio,2,0)</f>
        <v>6213.5246756295674</v>
      </c>
      <c r="G203" s="85">
        <f>+'Situfin serie mensual'!GT2</f>
        <v>2954.8947663270001</v>
      </c>
      <c r="H203" s="86">
        <f t="shared" ref="H203:H208" si="225">G203/E203*100</f>
        <v>1.2412700198268454</v>
      </c>
      <c r="I203" s="86">
        <f>SUMIFS($G$3:$G203,$D$3:$D203,D203)</f>
        <v>25035.631951122003</v>
      </c>
      <c r="J203" s="2">
        <f t="shared" si="159"/>
        <v>33516.907688455998</v>
      </c>
      <c r="K203" s="95">
        <f t="shared" si="166"/>
        <v>4.0866426549796886E-2</v>
      </c>
      <c r="L203" s="95">
        <f t="shared" si="167"/>
        <v>-2.3519038135360382E-2</v>
      </c>
      <c r="M203" s="95">
        <f t="shared" si="182"/>
        <v>2.3929985658951658E-2</v>
      </c>
      <c r="N203" s="86">
        <f>+'Situfin serie mensual'!GT4</f>
        <v>2227.9516970340001</v>
      </c>
      <c r="O203" s="86">
        <f t="shared" si="201"/>
        <v>0.93590123027907768</v>
      </c>
      <c r="P203" s="86">
        <f>SUMIFS($N$3:$N203,$D$3:$D203,D203)</f>
        <v>17752.269688249999</v>
      </c>
      <c r="Q203" s="4">
        <f t="shared" si="193"/>
        <v>23446.289398085002</v>
      </c>
      <c r="R203" s="97">
        <f t="shared" si="168"/>
        <v>4.2238960189772801E-2</v>
      </c>
      <c r="S203" s="97">
        <f t="shared" si="169"/>
        <v>1.7727293782922038E-2</v>
      </c>
      <c r="T203" s="97">
        <f t="shared" si="183"/>
        <v>1.8680487504660226E-2</v>
      </c>
      <c r="U203" s="4">
        <v>1397.9472235820001</v>
      </c>
      <c r="V203" s="4">
        <f t="shared" si="160"/>
        <v>13618.493463223</v>
      </c>
      <c r="W203" s="97">
        <f t="shared" si="188"/>
        <v>6.9814518493911182E-2</v>
      </c>
      <c r="X203" s="97">
        <f t="shared" si="170"/>
        <v>0.10207938561733521</v>
      </c>
      <c r="Y203" s="4">
        <v>836.11073200999999</v>
      </c>
      <c r="Z203" s="4">
        <f t="shared" si="161"/>
        <v>9742.7858373509989</v>
      </c>
      <c r="AA203" s="97">
        <f t="shared" si="189"/>
        <v>-4.2707001100126485E-2</v>
      </c>
      <c r="AB203" s="97">
        <f t="shared" si="171"/>
        <v>-5.6891778382055169E-2</v>
      </c>
      <c r="AC203" s="86">
        <f>+'Situfin serie mensual'!GT13</f>
        <v>220.38671316499997</v>
      </c>
      <c r="AD203" s="86">
        <f t="shared" si="202"/>
        <v>9.2578396678380956E-2</v>
      </c>
      <c r="AE203" s="86">
        <f>+'Situfin serie mensual'!GT15</f>
        <v>92.898813159000014</v>
      </c>
      <c r="AF203" s="86">
        <f t="shared" si="203"/>
        <v>3.9024236316577317E-2</v>
      </c>
      <c r="AG203" s="86">
        <f>+'Situfin serie mensual'!GT25</f>
        <v>413.65754296900008</v>
      </c>
      <c r="AH203" s="86">
        <f t="shared" si="204"/>
        <v>66.573734645559668</v>
      </c>
      <c r="AI203" s="86">
        <v>280.10293887</v>
      </c>
      <c r="AJ203" s="86">
        <f t="shared" si="205"/>
        <v>40.284477268968324</v>
      </c>
      <c r="AK203" s="102">
        <f>SUMIFS($AJ$3:$AJ203,$D$3:$D203,D203)</f>
        <v>368.01719257038911</v>
      </c>
      <c r="AL203" s="86">
        <v>0</v>
      </c>
      <c r="AM203" s="86">
        <f t="shared" si="206"/>
        <v>0</v>
      </c>
      <c r="AN203" s="102">
        <f>SUMIFS($AM$3:$AM203,$D$3:$D203,D203)</f>
        <v>109.78952552723305</v>
      </c>
      <c r="AO203" s="86">
        <f t="shared" ref="AO203:AO208" si="226">+AG203-AI203-AL203</f>
        <v>133.55460409900007</v>
      </c>
      <c r="AP203" s="85">
        <f>+'Situfin serie mensual'!GT34</f>
        <v>2760.9850354130003</v>
      </c>
      <c r="AQ203" s="86">
        <f t="shared" si="207"/>
        <v>1.1598138751684599</v>
      </c>
      <c r="AR203" s="86">
        <f>SUMIFS($AP$3:$AP203,$D$3:$D203,D203)</f>
        <v>23897.663082906998</v>
      </c>
      <c r="AS203" s="4">
        <f t="shared" si="162"/>
        <v>32907.681860333003</v>
      </c>
      <c r="AT203" s="97">
        <f t="shared" si="172"/>
        <v>8.9752253598586407E-2</v>
      </c>
      <c r="AU203" s="97">
        <f t="shared" si="173"/>
        <v>9.5563956399919991E-2</v>
      </c>
      <c r="AV203" s="98">
        <f t="shared" si="197"/>
        <v>8.5187918283494701E-2</v>
      </c>
      <c r="AW203" s="86">
        <f>+'Situfin serie mensual'!GT35</f>
        <v>1291.6127271380001</v>
      </c>
      <c r="AX203" s="86">
        <f>SUMIFS($AW$3:$AW203,$D$3:$D203,D203)</f>
        <v>11304.311466928</v>
      </c>
      <c r="AY203" s="4">
        <f t="shared" si="163"/>
        <v>16019.840564621998</v>
      </c>
      <c r="AZ203" s="97">
        <f t="shared" si="174"/>
        <v>8.1209791145321786E-2</v>
      </c>
      <c r="BA203" s="97">
        <f t="shared" si="175"/>
        <v>7.532147381910681E-2</v>
      </c>
      <c r="BB203" s="97">
        <f t="shared" si="190"/>
        <v>7.5103824528852003E-2</v>
      </c>
      <c r="BC203" s="86">
        <v>933.604224058</v>
      </c>
      <c r="BD203" s="86">
        <f t="shared" ref="BD203:BD208" si="227">+AW203-BC203</f>
        <v>358.00850308000008</v>
      </c>
      <c r="BE203" s="86">
        <f>+'Situfin serie mensual'!GT36</f>
        <v>250.80199250500002</v>
      </c>
      <c r="BF203" s="86">
        <f>+'Situfin serie mensual'!GT41</f>
        <v>265.68810881600001</v>
      </c>
      <c r="BG203" s="86">
        <f t="shared" si="208"/>
        <v>38.211332674380856</v>
      </c>
      <c r="BH203" s="86">
        <f>Datos1[[#This Row],[Intereses]]/Datos1[[#This Row],[PIB nominal (miles de millones de G.)]]*100</f>
        <v>0.111608267020531</v>
      </c>
      <c r="BI203" s="86">
        <f>+'Situfin serie mensual'!GT45</f>
        <v>313.94931373700001</v>
      </c>
      <c r="BJ203" s="86">
        <f>+'Situfin serie mensual'!GT55</f>
        <v>492.79707500000001</v>
      </c>
      <c r="BK203" s="86">
        <f>+'Situfin serie mensual'!GT59</f>
        <v>146.13581821700001</v>
      </c>
      <c r="BL203" s="85">
        <f>+'Situfin serie mensual'!GT71</f>
        <v>193.90973091399974</v>
      </c>
      <c r="BM203" s="85">
        <f>SUMIFS($BL$3:$BL203,$D$3:$D203,D203)</f>
        <v>1137.9688682150004</v>
      </c>
      <c r="BN203" s="56">
        <f t="shared" si="194"/>
        <v>609.22582812300061</v>
      </c>
      <c r="BO203" s="100">
        <f t="shared" si="176"/>
        <v>-0.6062548691806684</v>
      </c>
      <c r="BP203" s="100">
        <f t="shared" si="177"/>
        <v>-0.49188046426083198</v>
      </c>
      <c r="BQ203" s="100">
        <f t="shared" si="185"/>
        <v>-0.74712364735122039</v>
      </c>
      <c r="BR203" s="1">
        <f t="shared" si="210"/>
        <v>8.1456144658385632E-2</v>
      </c>
      <c r="BS203" s="1">
        <f>+Datos1[[#This Row],[RON acumulado 12 meses]]/Datos1[[#This Row],[PIB nominal (miles de millones de G.)]]*100</f>
        <v>0.2559190142304979</v>
      </c>
      <c r="BT203" s="85">
        <f>+'Situfin serie mensual'!GT74</f>
        <v>650.6027399840001</v>
      </c>
      <c r="BU203" s="85">
        <f>SUMIFS($BT$3:$BT203,$D$3:$D203,D203)</f>
        <v>4156.2186694780003</v>
      </c>
      <c r="BV203" s="56">
        <f t="shared" si="164"/>
        <v>5772.549109216</v>
      </c>
      <c r="BW203" s="100">
        <f t="shared" si="178"/>
        <v>1.8178963392462459</v>
      </c>
      <c r="BX203" s="100">
        <f t="shared" si="179"/>
        <v>0.35308679736320925</v>
      </c>
      <c r="BY203" s="100">
        <f t="shared" si="186"/>
        <v>0.1846667059479552</v>
      </c>
      <c r="BZ203" s="85">
        <f t="shared" si="211"/>
        <v>93.569854696091014</v>
      </c>
      <c r="CA203" s="85">
        <f>Datos1[[#This Row],[Adquisición Neta de Activos no Financieros]]/Datos1[[#This Row],[PIB nominal (miles de millones de G.)]]*100</f>
        <v>0.27330031687157907</v>
      </c>
      <c r="CB203" s="85">
        <f>+Datos1[[#This Row],[ANANF acumulado por año]]/Datos1[[#This Row],[PIB nominal (miles de millones de G.)]]*100</f>
        <v>1.7459131502948249</v>
      </c>
      <c r="CC203" s="85">
        <f>+Datos1[[#This Row],[ANANF acumulado 12 meses]]/Datos1[[#This Row],[PIB nominal (miles de millones de G.)]]*100</f>
        <v>2.4248891124317771</v>
      </c>
      <c r="CD203" s="86">
        <v>542.01050024300002</v>
      </c>
      <c r="CE203" s="86">
        <f t="shared" si="212"/>
        <v>77.952090630205973</v>
      </c>
      <c r="CF203" s="86">
        <f t="shared" si="213"/>
        <v>108.59223974100007</v>
      </c>
      <c r="CG203" s="86">
        <f t="shared" si="214"/>
        <v>15.617764065885027</v>
      </c>
      <c r="CH203" s="85">
        <f t="shared" si="215"/>
        <v>-456.69300907000036</v>
      </c>
      <c r="CI203" s="85">
        <f>SUMIFS($CH$3:$CH203,$D$3:$D203,D203)</f>
        <v>-3018.2498012629999</v>
      </c>
      <c r="CJ203" s="85">
        <f t="shared" si="195"/>
        <v>-5163.3232810930003</v>
      </c>
      <c r="CK203" s="85">
        <f>Datos1[[#This Row],[Resultado Fiscal (miles de millones de G.)]]*1000/$F$207</f>
        <v>-65.68170693601968</v>
      </c>
      <c r="CL203" s="56">
        <f t="shared" si="165"/>
        <v>-742.59049258338064</v>
      </c>
      <c r="CM203" s="100">
        <f t="shared" si="180"/>
        <v>-2.7458162798648464</v>
      </c>
      <c r="CN203" s="100">
        <f t="shared" si="181"/>
        <v>2.6273209124020265</v>
      </c>
      <c r="CO203" s="100">
        <f t="shared" si="187"/>
        <v>1.0958998472685169</v>
      </c>
      <c r="CP203" s="86">
        <f t="shared" si="216"/>
        <v>-0.19184417221319347</v>
      </c>
      <c r="CQ203" s="86">
        <f t="shared" si="196"/>
        <v>-2.1689700982012798</v>
      </c>
      <c r="CR203" s="81">
        <v>1371.250893425</v>
      </c>
      <c r="CS203" s="113">
        <f>SUM(Datos1[[#This Row],[FFPP]:[MTESS]])</f>
        <v>0</v>
      </c>
      <c r="CT203" s="113"/>
      <c r="CU203" s="113"/>
      <c r="CV203" s="113"/>
      <c r="CW203" s="113"/>
      <c r="CX203" s="113"/>
      <c r="CY203" s="113"/>
      <c r="CZ203" s="113"/>
    </row>
    <row r="204" spans="1:104">
      <c r="A204" s="77">
        <v>202</v>
      </c>
      <c r="B204" s="3">
        <v>43739</v>
      </c>
      <c r="C204" s="83" t="str">
        <f t="shared" si="221"/>
        <v>Octubre</v>
      </c>
      <c r="D204" s="83">
        <f t="shared" si="222"/>
        <v>2019</v>
      </c>
      <c r="E204" s="84">
        <f t="shared" si="223"/>
        <v>238054.14769779114</v>
      </c>
      <c r="F204" s="84">
        <f t="shared" si="224"/>
        <v>6213.5246756295674</v>
      </c>
      <c r="G204" s="85">
        <f>+'Situfin serie mensual'!GU2</f>
        <v>2778.2621795190003</v>
      </c>
      <c r="H204" s="86">
        <f t="shared" si="225"/>
        <v>1.1670715282163426</v>
      </c>
      <c r="I204" s="86">
        <f>SUMIFS($G$3:$G204,$D$3:$D204,D204)</f>
        <v>27813.894130641002</v>
      </c>
      <c r="J204" s="2">
        <f t="shared" si="159"/>
        <v>33620.437254102006</v>
      </c>
      <c r="K204" s="95">
        <f t="shared" si="166"/>
        <v>4.0650274042586476E-2</v>
      </c>
      <c r="L204" s="95">
        <f t="shared" si="167"/>
        <v>3.8706510366316671E-2</v>
      </c>
      <c r="M204" s="95">
        <f t="shared" si="182"/>
        <v>2.1004318854778159E-2</v>
      </c>
      <c r="N204" s="86">
        <f>+'Situfin serie mensual'!GU4</f>
        <v>1947.9167391440001</v>
      </c>
      <c r="O204" s="86">
        <f t="shared" si="201"/>
        <v>0.81826624655869185</v>
      </c>
      <c r="P204" s="86">
        <f>SUMIFS($N$3:$N204,$D$3:$D204,D204)</f>
        <v>19700.186427393997</v>
      </c>
      <c r="Q204" s="4">
        <f t="shared" si="193"/>
        <v>23472.795916608</v>
      </c>
      <c r="R204" s="97">
        <f t="shared" si="168"/>
        <v>1.3795345855104779E-2</v>
      </c>
      <c r="S204" s="97">
        <f t="shared" si="169"/>
        <v>1.7337152037181003E-2</v>
      </c>
      <c r="T204" s="97">
        <f t="shared" si="183"/>
        <v>1.3649105143501039E-2</v>
      </c>
      <c r="U204" s="4">
        <v>1064.850608278</v>
      </c>
      <c r="V204" s="4">
        <f t="shared" si="160"/>
        <v>13743.171317204</v>
      </c>
      <c r="W204" s="97">
        <f t="shared" si="188"/>
        <v>7.8143591608583085E-2</v>
      </c>
      <c r="X204" s="97">
        <f t="shared" si="170"/>
        <v>0.13261164335082887</v>
      </c>
      <c r="Y204" s="1">
        <v>878.43472699299991</v>
      </c>
      <c r="Z204" s="4">
        <f t="shared" si="161"/>
        <v>9640.2833074479986</v>
      </c>
      <c r="AA204" s="97">
        <f t="shared" si="189"/>
        <v>-6.4331738097807234E-2</v>
      </c>
      <c r="AB204" s="97">
        <f t="shared" si="171"/>
        <v>-0.10449448135689232</v>
      </c>
      <c r="AC204" s="86">
        <f>+'Situfin serie mensual'!GU13</f>
        <v>187.90341554300002</v>
      </c>
      <c r="AD204" s="86">
        <f t="shared" si="202"/>
        <v>7.8933056768892215E-2</v>
      </c>
      <c r="AE204" s="86">
        <f>+'Situfin serie mensual'!GU15</f>
        <v>156.18527355200001</v>
      </c>
      <c r="AF204" s="86">
        <f t="shared" si="203"/>
        <v>6.5609137695124997E-2</v>
      </c>
      <c r="AG204" s="86">
        <f>+'Situfin serie mensual'!GU25</f>
        <v>486.25675127999995</v>
      </c>
      <c r="AH204" s="86">
        <f t="shared" si="204"/>
        <v>78.25779676826204</v>
      </c>
      <c r="AI204" s="1">
        <v>278.28351233699999</v>
      </c>
      <c r="AJ204" s="86">
        <f t="shared" si="205"/>
        <v>40.022806873409877</v>
      </c>
      <c r="AK204" s="102">
        <f>SUMIFS($AJ$3:$AJ204,$D$3:$D204,D204)</f>
        <v>408.03999944379899</v>
      </c>
      <c r="AL204" s="1">
        <v>0</v>
      </c>
      <c r="AM204" s="86">
        <f t="shared" si="206"/>
        <v>0</v>
      </c>
      <c r="AN204" s="102">
        <f>SUMIFS($AM$3:$AM204,$D$3:$D204,D204)</f>
        <v>109.78952552723305</v>
      </c>
      <c r="AO204" s="86">
        <f t="shared" si="226"/>
        <v>207.97323894299996</v>
      </c>
      <c r="AP204" s="85">
        <f>+'Situfin serie mensual'!GU34</f>
        <v>2595.1915842649996</v>
      </c>
      <c r="AQ204" s="86">
        <f t="shared" si="207"/>
        <v>1.0901686063288365</v>
      </c>
      <c r="AR204" s="86">
        <f>SUMIFS($AP$3:$AP204,$D$3:$D204,D204)</f>
        <v>26492.854667171996</v>
      </c>
      <c r="AS204" s="4">
        <f t="shared" si="162"/>
        <v>32962.981516915999</v>
      </c>
      <c r="AT204" s="97">
        <f t="shared" si="172"/>
        <v>2.1772444717153228E-2</v>
      </c>
      <c r="AU204" s="97">
        <f t="shared" si="173"/>
        <v>8.7867885774485677E-2</v>
      </c>
      <c r="AV204" s="98">
        <f t="shared" si="197"/>
        <v>8.26671994259498E-2</v>
      </c>
      <c r="AW204" s="86">
        <f>+'Situfin serie mensual'!GU35</f>
        <v>1298.6621290189998</v>
      </c>
      <c r="AX204" s="86">
        <f>SUMIFS($AW$3:$AW204,$D$3:$D204,D204)</f>
        <v>12602.973595947</v>
      </c>
      <c r="AY204" s="4">
        <f t="shared" si="163"/>
        <v>16146.468533171997</v>
      </c>
      <c r="AZ204" s="97">
        <f t="shared" si="174"/>
        <v>0.10804119267251466</v>
      </c>
      <c r="BA204" s="97">
        <f t="shared" si="175"/>
        <v>7.8603474158894127E-2</v>
      </c>
      <c r="BB204" s="97">
        <f t="shared" si="190"/>
        <v>7.7182720952182038E-2</v>
      </c>
      <c r="BC204" s="1">
        <v>937.09354958599999</v>
      </c>
      <c r="BD204" s="86">
        <f t="shared" si="227"/>
        <v>361.56857943299985</v>
      </c>
      <c r="BE204" s="86">
        <f>+'Situfin serie mensual'!GU36</f>
        <v>225.98132640699998</v>
      </c>
      <c r="BF204" s="86">
        <f>+'Situfin serie mensual'!GU41</f>
        <v>208.18718309600001</v>
      </c>
      <c r="BG204" s="86">
        <f t="shared" si="208"/>
        <v>29.941534633500432</v>
      </c>
      <c r="BH204" s="86">
        <f>Datos1[[#This Row],[Intereses]]/Datos1[[#This Row],[PIB nominal (miles de millones de G.)]]*100</f>
        <v>8.7453709632605459E-2</v>
      </c>
      <c r="BI204" s="86">
        <f>+'Situfin serie mensual'!GU45</f>
        <v>340.65104509999998</v>
      </c>
      <c r="BJ204" s="86">
        <f>+'Situfin serie mensual'!GU55</f>
        <v>418.74891749899996</v>
      </c>
      <c r="BK204" s="86">
        <f>+'Situfin serie mensual'!GU59</f>
        <v>102.96098314400001</v>
      </c>
      <c r="BL204" s="85">
        <f>+'Situfin serie mensual'!GU71</f>
        <v>183.07059525400064</v>
      </c>
      <c r="BM204" s="85">
        <f>SUMIFS($BL$3:$BL204,$D$3:$D204,D204)</f>
        <v>1321.039463469001</v>
      </c>
      <c r="BN204" s="56">
        <f t="shared" si="194"/>
        <v>657.45573718600099</v>
      </c>
      <c r="BO204" s="100">
        <f t="shared" si="176"/>
        <v>0.35768068544744192</v>
      </c>
      <c r="BP204" s="100">
        <f t="shared" si="177"/>
        <v>-0.44363462074444504</v>
      </c>
      <c r="BQ204" s="100">
        <f t="shared" si="185"/>
        <v>-0.73518537906896431</v>
      </c>
      <c r="BR204" s="1">
        <f t="shared" si="210"/>
        <v>7.6902921887506068E-2</v>
      </c>
      <c r="BS204" s="1">
        <f>+Datos1[[#This Row],[RON acumulado 12 meses]]/Datos1[[#This Row],[PIB nominal (miles de millones de G.)]]*100</f>
        <v>0.27617907251111568</v>
      </c>
      <c r="BT204" s="85">
        <f>+'Situfin serie mensual'!GU74</f>
        <v>715.12154176800004</v>
      </c>
      <c r="BU204" s="85">
        <f>SUMIFS($BT$3:$BT204,$D$3:$D204,D204)</f>
        <v>4871.3402112460008</v>
      </c>
      <c r="BV204" s="56">
        <f t="shared" si="164"/>
        <v>6164.1858517760011</v>
      </c>
      <c r="BW204" s="100">
        <f t="shared" si="178"/>
        <v>1.2106805127129898</v>
      </c>
      <c r="BX204" s="100">
        <f t="shared" si="179"/>
        <v>0.43479723508884893</v>
      </c>
      <c r="BY204" s="100">
        <f t="shared" si="186"/>
        <v>0.30462414597448184</v>
      </c>
      <c r="BZ204" s="85">
        <f t="shared" si="211"/>
        <v>102.84896549147935</v>
      </c>
      <c r="CA204" s="85">
        <f>Datos1[[#This Row],[Adquisición Neta de Activos no Financieros]]/Datos1[[#This Row],[PIB nominal (miles de millones de G.)]]*100</f>
        <v>0.30040289097413425</v>
      </c>
      <c r="CB204" s="85">
        <f>+Datos1[[#This Row],[ANANF acumulado por año]]/Datos1[[#This Row],[PIB nominal (miles de millones de G.)]]*100</f>
        <v>2.0463160412689594</v>
      </c>
      <c r="CC204" s="85">
        <f>+Datos1[[#This Row],[ANANF acumulado 12 meses]]/Datos1[[#This Row],[PIB nominal (miles de millones de G.)]]*100</f>
        <v>2.5894049363934681</v>
      </c>
      <c r="CD204" s="1">
        <v>562.05339691500001</v>
      </c>
      <c r="CE204" s="86">
        <f t="shared" si="212"/>
        <v>80.834665224548957</v>
      </c>
      <c r="CF204" s="86">
        <f t="shared" si="213"/>
        <v>153.06814485300004</v>
      </c>
      <c r="CG204" s="86">
        <f t="shared" si="214"/>
        <v>22.014300266930402</v>
      </c>
      <c r="CH204" s="85">
        <f t="shared" si="215"/>
        <v>-532.05094651399941</v>
      </c>
      <c r="CI204" s="85">
        <f>SUMIFS($CH$3:$CH204,$D$3:$D204,D204)</f>
        <v>-3550.3007477769993</v>
      </c>
      <c r="CJ204" s="85">
        <f t="shared" si="195"/>
        <v>-5506.7301145899992</v>
      </c>
      <c r="CK204" s="85">
        <f>Datos1[[#This Row],[Resultado Fiscal (miles de millones de G.)]]*1000/$F$207</f>
        <v>-76.519705031455786</v>
      </c>
      <c r="CL204" s="56">
        <f t="shared" si="165"/>
        <v>-791.97935238552247</v>
      </c>
      <c r="CM204" s="100">
        <f t="shared" si="180"/>
        <v>1.8203951769544662</v>
      </c>
      <c r="CN204" s="100">
        <f t="shared" si="181"/>
        <v>2.4781908867819533</v>
      </c>
      <c r="CO204" s="100">
        <f t="shared" si="187"/>
        <v>1.455979059151133</v>
      </c>
      <c r="CP204" s="86">
        <f t="shared" si="216"/>
        <v>-0.22349996908662817</v>
      </c>
      <c r="CQ204" s="86">
        <f t="shared" si="196"/>
        <v>-2.313225863882352</v>
      </c>
      <c r="CR204" s="87">
        <v>1382.754472979</v>
      </c>
      <c r="CS204" s="113">
        <f>SUM(Datos1[[#This Row],[FFPP]:[MTESS]])</f>
        <v>0</v>
      </c>
      <c r="CT204" s="113"/>
      <c r="CU204" s="113"/>
      <c r="CV204" s="113"/>
      <c r="CW204" s="113"/>
      <c r="CX204" s="113"/>
      <c r="CY204" s="113"/>
      <c r="CZ204" s="113"/>
    </row>
    <row r="205" spans="1:104">
      <c r="A205" s="77">
        <v>203</v>
      </c>
      <c r="B205" s="3">
        <v>43770</v>
      </c>
      <c r="C205" s="83" t="str">
        <f t="shared" si="221"/>
        <v>Noviembre</v>
      </c>
      <c r="D205" s="83">
        <f t="shared" si="222"/>
        <v>2019</v>
      </c>
      <c r="E205" s="84">
        <f t="shared" si="223"/>
        <v>238054.14769779114</v>
      </c>
      <c r="F205" s="84">
        <f t="shared" si="224"/>
        <v>6213.5246756295674</v>
      </c>
      <c r="G205" s="85">
        <f>+'Situfin serie mensual'!GV2</f>
        <v>3071.9020799589998</v>
      </c>
      <c r="H205" s="86">
        <f t="shared" si="225"/>
        <v>1.2904215741112681</v>
      </c>
      <c r="I205" s="86">
        <f>SUMIFS($G$3:$G205,$D$3:$D205,D205)</f>
        <v>30885.796210600001</v>
      </c>
      <c r="J205" s="2">
        <f t="shared" si="159"/>
        <v>33605.033752789001</v>
      </c>
      <c r="K205" s="95">
        <f t="shared" si="166"/>
        <v>3.5924309631041984E-2</v>
      </c>
      <c r="L205" s="95">
        <f t="shared" si="167"/>
        <v>-4.9893024540361708E-3</v>
      </c>
      <c r="M205" s="95">
        <f t="shared" si="182"/>
        <v>1.180774811759111E-2</v>
      </c>
      <c r="N205" s="86">
        <f>+'Situfin serie mensual'!GV4</f>
        <v>2158.001089718</v>
      </c>
      <c r="O205" s="86">
        <f t="shared" si="201"/>
        <v>0.90651690406905838</v>
      </c>
      <c r="P205" s="86">
        <f>SUMIFS($N$3:$N205,$D$3:$D205,D205)</f>
        <v>21858.187517111997</v>
      </c>
      <c r="Q205" s="4">
        <f t="shared" si="193"/>
        <v>23449.575425115003</v>
      </c>
      <c r="R205" s="97">
        <f t="shared" si="168"/>
        <v>-1.0645636231101485E-2</v>
      </c>
      <c r="S205" s="97">
        <f t="shared" si="169"/>
        <v>1.4504256901384682E-2</v>
      </c>
      <c r="T205" s="97">
        <f t="shared" si="183"/>
        <v>7.087720848407919E-3</v>
      </c>
      <c r="U205" s="1">
        <v>1350.121438052</v>
      </c>
      <c r="V205" s="4">
        <f t="shared" si="160"/>
        <v>13874.374132401999</v>
      </c>
      <c r="W205" s="97">
        <f t="shared" si="188"/>
        <v>8.4353409085632602E-2</v>
      </c>
      <c r="X205" s="97">
        <f t="shared" si="170"/>
        <v>0.10763869936681991</v>
      </c>
      <c r="Y205" s="1">
        <v>832.41642381200006</v>
      </c>
      <c r="Z205" s="4">
        <f t="shared" si="161"/>
        <v>9561.2646888239979</v>
      </c>
      <c r="AA205" s="97">
        <f t="shared" si="189"/>
        <v>-7.6802366757488749E-2</v>
      </c>
      <c r="AB205" s="97">
        <f t="shared" si="171"/>
        <v>-8.6696928409518037E-2</v>
      </c>
      <c r="AC205" s="86">
        <f>+'Situfin serie mensual'!GV13</f>
        <v>134.22872301500001</v>
      </c>
      <c r="AD205" s="86">
        <f t="shared" si="202"/>
        <v>5.6385794708102663E-2</v>
      </c>
      <c r="AE205" s="86">
        <f>+'Situfin serie mensual'!GV15</f>
        <v>338.43367301299998</v>
      </c>
      <c r="AF205" s="86">
        <f t="shared" si="203"/>
        <v>0.14216667774368724</v>
      </c>
      <c r="AG205" s="1">
        <f>+'Situfin serie mensual'!GV25</f>
        <v>441.23859421300006</v>
      </c>
      <c r="AH205" s="86">
        <f t="shared" si="204"/>
        <v>71.012608341865615</v>
      </c>
      <c r="AI205" s="86">
        <v>292.22698122000003</v>
      </c>
      <c r="AJ205" s="86">
        <f t="shared" si="205"/>
        <v>42.028160182210677</v>
      </c>
      <c r="AK205" s="102">
        <f>SUMIFS($AJ$3:$AJ205,$D$3:$D205,D205)</f>
        <v>450.06815962600967</v>
      </c>
      <c r="AL205" s="86">
        <v>0</v>
      </c>
      <c r="AM205" s="86">
        <f t="shared" si="206"/>
        <v>0</v>
      </c>
      <c r="AN205" s="102">
        <f>SUMIFS($AM$3:$AM205,$D$3:$D205,D205)</f>
        <v>109.78952552723305</v>
      </c>
      <c r="AO205" s="86">
        <f t="shared" si="226"/>
        <v>149.01161299300003</v>
      </c>
      <c r="AP205" s="85">
        <f>+'Situfin serie mensual'!GV34</f>
        <v>2642.3624796120002</v>
      </c>
      <c r="AQ205" s="86">
        <f t="shared" si="207"/>
        <v>1.1099838020745052</v>
      </c>
      <c r="AR205" s="86">
        <f>SUMIFS($AP$3:$AP205,$D$3:$D205,D205)</f>
        <v>29135.217146783994</v>
      </c>
      <c r="AS205" s="4">
        <f t="shared" si="162"/>
        <v>33090.832664319998</v>
      </c>
      <c r="AT205" s="97">
        <f t="shared" si="172"/>
        <v>5.0845325597214108E-2</v>
      </c>
      <c r="AU205" s="97">
        <f t="shared" si="173"/>
        <v>8.4402971576121644E-2</v>
      </c>
      <c r="AV205" s="98">
        <f t="shared" si="197"/>
        <v>7.8412794848555789E-2</v>
      </c>
      <c r="AW205" s="86">
        <f>+'Situfin serie mensual'!GV35</f>
        <v>1288.7506404649998</v>
      </c>
      <c r="AX205" s="86">
        <f>SUMIFS($AW$3:$AW205,$D$3:$D205,D205)</f>
        <v>13891.724236411999</v>
      </c>
      <c r="AY205" s="4">
        <f t="shared" si="163"/>
        <v>16236.296726454999</v>
      </c>
      <c r="AZ205" s="97">
        <f t="shared" si="174"/>
        <v>7.4924106637702881E-2</v>
      </c>
      <c r="BA205" s="97">
        <f t="shared" si="175"/>
        <v>7.826107551490602E-2</v>
      </c>
      <c r="BB205" s="97">
        <f t="shared" si="190"/>
        <v>7.860255394227611E-2</v>
      </c>
      <c r="BC205" s="86">
        <v>934.90287021400002</v>
      </c>
      <c r="BD205" s="86">
        <f t="shared" si="227"/>
        <v>353.84777025099982</v>
      </c>
      <c r="BE205" s="86">
        <f>+'Situfin serie mensual'!GV36</f>
        <v>245.71675677300001</v>
      </c>
      <c r="BF205" s="86">
        <f>+'Situfin serie mensual'!GV41</f>
        <v>120.20753763699999</v>
      </c>
      <c r="BG205" s="86">
        <f t="shared" si="208"/>
        <v>17.288279219890143</v>
      </c>
      <c r="BH205" s="86">
        <f>Datos1[[#This Row],[Intereses]]/Datos1[[#This Row],[PIB nominal (miles de millones de G.)]]*100</f>
        <v>5.049588036987409E-2</v>
      </c>
      <c r="BI205" s="86">
        <f>+'Situfin serie mensual'!GV45</f>
        <v>370.57313693999998</v>
      </c>
      <c r="BJ205" s="86">
        <f>+'Situfin serie mensual'!GV55</f>
        <v>528.48112983199997</v>
      </c>
      <c r="BK205" s="86">
        <f>+'Situfin serie mensual'!GV59</f>
        <v>88.633277964999991</v>
      </c>
      <c r="BL205" s="85">
        <f>+'Situfin serie mensual'!GV71</f>
        <v>429.53960034699958</v>
      </c>
      <c r="BM205" s="85">
        <f>SUMIFS($BL$3:$BL205,$D$3:$D205,D205)</f>
        <v>1750.5790638160006</v>
      </c>
      <c r="BN205" s="56">
        <f t="shared" si="194"/>
        <v>514.20108846900075</v>
      </c>
      <c r="BO205" s="100">
        <f t="shared" si="176"/>
        <v>-0.25009791727324771</v>
      </c>
      <c r="BP205" s="100">
        <f t="shared" si="177"/>
        <v>-0.40602042600415889</v>
      </c>
      <c r="BQ205" s="100">
        <f t="shared" si="185"/>
        <v>-0.79660646996109152</v>
      </c>
      <c r="BR205" s="1">
        <f t="shared" si="210"/>
        <v>0.18043777203676303</v>
      </c>
      <c r="BS205" s="1">
        <f>+Datos1[[#This Row],[RON acumulado 12 meses]]/Datos1[[#This Row],[PIB nominal (miles de millones de G.)]]*100</f>
        <v>0.2160017346649121</v>
      </c>
      <c r="BT205" s="85">
        <f>+'Situfin serie mensual'!GV74</f>
        <v>981.99210945300013</v>
      </c>
      <c r="BU205" s="85">
        <f>SUMIFS($BT$3:$BT205,$D$3:$D205,D205)</f>
        <v>5853.3323206990008</v>
      </c>
      <c r="BV205" s="56">
        <f t="shared" si="164"/>
        <v>6700.697305402</v>
      </c>
      <c r="BW205" s="100">
        <f t="shared" si="178"/>
        <v>1.204342874619345</v>
      </c>
      <c r="BX205" s="100">
        <f t="shared" si="179"/>
        <v>0.52405820546000959</v>
      </c>
      <c r="BY205" s="100">
        <f t="shared" si="186"/>
        <v>0.43884722859924663</v>
      </c>
      <c r="BZ205" s="85">
        <f t="shared" si="211"/>
        <v>141.23035970688471</v>
      </c>
      <c r="CA205" s="85">
        <f>Datos1[[#This Row],[Adquisición Neta de Activos no Financieros]]/Datos1[[#This Row],[PIB nominal (miles de millones de G.)]]*100</f>
        <v>0.41250787644315084</v>
      </c>
      <c r="CB205" s="85">
        <f>+Datos1[[#This Row],[ANANF acumulado por año]]/Datos1[[#This Row],[PIB nominal (miles de millones de G.)]]*100</f>
        <v>2.4588239177121101</v>
      </c>
      <c r="CC205" s="85">
        <f>+Datos1[[#This Row],[ANANF acumulado 12 meses]]/Datos1[[#This Row],[PIB nominal (miles de millones de G.)]]*100</f>
        <v>2.8147786418359364</v>
      </c>
      <c r="CD205" s="86">
        <v>863.06049869000003</v>
      </c>
      <c r="CE205" s="86">
        <f t="shared" si="212"/>
        <v>124.12558462072438</v>
      </c>
      <c r="CF205" s="86">
        <f t="shared" si="213"/>
        <v>118.93161076300009</v>
      </c>
      <c r="CG205" s="86">
        <f t="shared" si="214"/>
        <v>17.10477508616033</v>
      </c>
      <c r="CH205" s="85">
        <f t="shared" si="215"/>
        <v>-552.45250910600055</v>
      </c>
      <c r="CI205" s="85">
        <f>SUMIFS($CH$3:$CH205,$D$3:$D205,D205)</f>
        <v>-4102.7532568830002</v>
      </c>
      <c r="CJ205" s="85">
        <f t="shared" si="195"/>
        <v>-6186.4962169330001</v>
      </c>
      <c r="CK205" s="85">
        <f>Datos1[[#This Row],[Resultado Fiscal (miles de millones de G.)]]*1000/$F$207</f>
        <v>-79.45386305137697</v>
      </c>
      <c r="CL205" s="56">
        <f t="shared" si="165"/>
        <v>-889.74348941502035</v>
      </c>
      <c r="CM205" s="100">
        <f t="shared" si="180"/>
        <v>-5.3393049796150667</v>
      </c>
      <c r="CN205" s="100">
        <f t="shared" si="181"/>
        <v>3.5921969100746818</v>
      </c>
      <c r="CO205" s="100">
        <f t="shared" si="187"/>
        <v>1.9059853414835621</v>
      </c>
      <c r="CP205" s="86">
        <f t="shared" si="216"/>
        <v>-0.23207010440638781</v>
      </c>
      <c r="CQ205" s="86">
        <f t="shared" si="196"/>
        <v>-2.5987769071710249</v>
      </c>
      <c r="CR205" s="88">
        <v>1407.9725903999999</v>
      </c>
      <c r="CS205" s="113">
        <f>SUM(Datos1[[#This Row],[FFPP]:[MTESS]])</f>
        <v>0</v>
      </c>
      <c r="CT205" s="113"/>
      <c r="CU205" s="113"/>
      <c r="CV205" s="113"/>
      <c r="CW205" s="113"/>
      <c r="CX205" s="113"/>
      <c r="CY205" s="113"/>
      <c r="CZ205" s="113"/>
    </row>
    <row r="206" spans="1:104">
      <c r="A206" s="77">
        <v>204</v>
      </c>
      <c r="B206" s="3">
        <v>43800</v>
      </c>
      <c r="C206" s="83" t="str">
        <f t="shared" si="221"/>
        <v>Diciembre</v>
      </c>
      <c r="D206" s="83">
        <f t="shared" si="222"/>
        <v>2019</v>
      </c>
      <c r="E206" s="84">
        <f t="shared" si="223"/>
        <v>238054.14769779114</v>
      </c>
      <c r="F206" s="84">
        <f t="shared" si="224"/>
        <v>6213.5246756295674</v>
      </c>
      <c r="G206" s="85">
        <f>+'Situfin serie mensual'!GW2</f>
        <v>2746.920724435</v>
      </c>
      <c r="H206" s="86">
        <f t="shared" si="225"/>
        <v>1.1539058449517989</v>
      </c>
      <c r="I206" s="86">
        <f>SUMIFS($G$3:$G206,$D$3:$D206,D206)</f>
        <v>33632.716935035001</v>
      </c>
      <c r="J206" s="2">
        <f t="shared" si="159"/>
        <v>33632.716935035001</v>
      </c>
      <c r="K206" s="95">
        <f t="shared" si="166"/>
        <v>3.3772602667506924E-2</v>
      </c>
      <c r="L206" s="95">
        <f t="shared" si="167"/>
        <v>1.0180494280655816E-2</v>
      </c>
      <c r="M206" s="95">
        <f t="shared" si="182"/>
        <v>3.3772602667506924E-2</v>
      </c>
      <c r="N206" s="86">
        <f>+'Situfin serie mensual'!GW4</f>
        <v>1719.0685062780001</v>
      </c>
      <c r="O206" s="86">
        <f t="shared" si="201"/>
        <v>0.72213339817979194</v>
      </c>
      <c r="P206" s="86">
        <f>SUMIFS($N$3:$N206,$D$3:$D206,D206)</f>
        <v>23577.256023389997</v>
      </c>
      <c r="Q206" s="4">
        <f t="shared" ref="Q206:Q214" si="228">SUM(N195:N206)</f>
        <v>23577.256023389997</v>
      </c>
      <c r="R206" s="97">
        <f t="shared" si="168"/>
        <v>8.0232228505005887E-2</v>
      </c>
      <c r="S206" s="97">
        <f t="shared" si="169"/>
        <v>1.9025084013851279E-2</v>
      </c>
      <c r="T206" s="97">
        <f t="shared" si="183"/>
        <v>1.9025084013851279E-2</v>
      </c>
      <c r="U206" s="1">
        <v>831.76618980300009</v>
      </c>
      <c r="V206" s="4">
        <f t="shared" si="160"/>
        <v>13920.201374058001</v>
      </c>
      <c r="W206" s="97">
        <f t="shared" si="188"/>
        <v>8.9201234574658006E-2</v>
      </c>
      <c r="X206" s="97">
        <f t="shared" si="170"/>
        <v>5.8308907789907272E-2</v>
      </c>
      <c r="Y206" s="1">
        <v>893.42562358800001</v>
      </c>
      <c r="Z206" s="4">
        <f t="shared" si="161"/>
        <v>9635.032970373999</v>
      </c>
      <c r="AA206" s="97">
        <f t="shared" si="189"/>
        <v>-6.4639899934746503E-2</v>
      </c>
      <c r="AB206" s="97">
        <f t="shared" si="171"/>
        <v>8.9998927315873667E-2</v>
      </c>
      <c r="AC206" s="86">
        <f>+'Situfin serie mensual'!GW13</f>
        <v>135.04248405599998</v>
      </c>
      <c r="AD206" s="86">
        <f t="shared" si="202"/>
        <v>5.6727633339720633E-2</v>
      </c>
      <c r="AE206" s="86">
        <f>+'Situfin serie mensual'!GW15</f>
        <v>188.35861155500001</v>
      </c>
      <c r="AF206" s="86">
        <f t="shared" si="203"/>
        <v>7.9124272093809761E-2</v>
      </c>
      <c r="AG206" s="86">
        <f>+'Situfin serie mensual'!GW25</f>
        <v>704.45112254599997</v>
      </c>
      <c r="AH206" s="86">
        <f t="shared" si="204"/>
        <v>113.37383519356885</v>
      </c>
      <c r="AI206" s="86">
        <v>419.92724514000003</v>
      </c>
      <c r="AJ206" s="86">
        <f t="shared" si="205"/>
        <v>60.394045238183118</v>
      </c>
      <c r="AK206" s="102">
        <f>SUMIFS($AJ$3:$AJ206,$D$3:$D206,D206)</f>
        <v>510.46220486419281</v>
      </c>
      <c r="AL206" s="86">
        <v>0</v>
      </c>
      <c r="AM206" s="86">
        <f t="shared" si="206"/>
        <v>0</v>
      </c>
      <c r="AN206" s="102">
        <f>SUMIFS($AM$3:$AM206,$D$3:$D206,D206)</f>
        <v>109.78952552723305</v>
      </c>
      <c r="AO206" s="86">
        <f t="shared" si="226"/>
        <v>284.52387740599994</v>
      </c>
      <c r="AP206" s="85">
        <f>+'Situfin serie mensual'!GW34</f>
        <v>4193.5291582640002</v>
      </c>
      <c r="AQ206" s="86">
        <f t="shared" si="207"/>
        <v>1.7615862604451111</v>
      </c>
      <c r="AR206" s="86">
        <f>SUMIFS($AP$3:$AP206,$D$3:$D206,D206)</f>
        <v>33328.746305047993</v>
      </c>
      <c r="AS206" s="4">
        <f t="shared" si="162"/>
        <v>33328.746305047993</v>
      </c>
      <c r="AT206" s="97">
        <f t="shared" si="172"/>
        <v>6.0145795179860961E-2</v>
      </c>
      <c r="AU206" s="97">
        <f t="shared" si="173"/>
        <v>8.1289983046064274E-2</v>
      </c>
      <c r="AV206" s="98">
        <f t="shared" si="197"/>
        <v>8.1289983046064274E-2</v>
      </c>
      <c r="AW206" s="86">
        <f>+'Situfin serie mensual'!GW35</f>
        <v>2539.8174564010001</v>
      </c>
      <c r="AX206" s="86">
        <f>SUMIFS($AW$3:$AW206,$D$3:$D206,D206)</f>
        <v>16431.541692813</v>
      </c>
      <c r="AY206" s="4">
        <f t="shared" si="163"/>
        <v>16431.541692813</v>
      </c>
      <c r="AZ206" s="97">
        <f t="shared" si="174"/>
        <v>8.3275295256244775E-2</v>
      </c>
      <c r="BA206" s="97">
        <f t="shared" si="175"/>
        <v>7.9033086492616089E-2</v>
      </c>
      <c r="BB206" s="97">
        <f t="shared" si="190"/>
        <v>7.9033086492616089E-2</v>
      </c>
      <c r="BC206" s="1">
        <v>939.73958792099995</v>
      </c>
      <c r="BD206" s="86">
        <f t="shared" si="227"/>
        <v>1600.0778684800002</v>
      </c>
      <c r="BE206" s="86">
        <f>+'Situfin serie mensual'!GW36</f>
        <v>288.71015214200003</v>
      </c>
      <c r="BF206" s="86">
        <f>+'Situfin serie mensual'!GW41</f>
        <v>25.740211659</v>
      </c>
      <c r="BG206" s="86">
        <f t="shared" si="208"/>
        <v>3.7019639124767423</v>
      </c>
      <c r="BH206" s="86">
        <f>Datos1[[#This Row],[Intereses]]/Datos1[[#This Row],[PIB nominal (miles de millones de G.)]]*100</f>
        <v>1.0812754958454705E-2</v>
      </c>
      <c r="BI206" s="86">
        <f>+'Situfin serie mensual'!GW45</f>
        <v>542.10683839099988</v>
      </c>
      <c r="BJ206" s="86">
        <f>+'Situfin serie mensual'!GW55</f>
        <v>708.09949345900009</v>
      </c>
      <c r="BK206" s="86">
        <f>+'Situfin serie mensual'!GW59</f>
        <v>89.055006212000009</v>
      </c>
      <c r="BL206" s="85">
        <f>+'Situfin serie mensual'!GW71</f>
        <v>-1446.6084338290002</v>
      </c>
      <c r="BM206" s="85">
        <f>SUMIFS($BL$3:$BL206,$D$3:$D206,D206)</f>
        <v>303.97062998700039</v>
      </c>
      <c r="BN206" s="56">
        <f t="shared" ref="BN206:BN214" si="229">SUM(BL195:BL206)</f>
        <v>303.97062998700039</v>
      </c>
      <c r="BO206" s="100">
        <f t="shared" si="176"/>
        <v>0.17003736937565339</v>
      </c>
      <c r="BP206" s="100">
        <f t="shared" si="177"/>
        <v>-0.82232523970407589</v>
      </c>
      <c r="BQ206" s="100">
        <f t="shared" si="185"/>
        <v>-0.82232523970407589</v>
      </c>
      <c r="BR206" s="1">
        <f t="shared" si="210"/>
        <v>-0.6076804154933122</v>
      </c>
      <c r="BS206" s="1">
        <f>+Datos1[[#This Row],[RON acumulado 12 meses]]/Datos1[[#This Row],[PIB nominal (miles de millones de G.)]]*100</f>
        <v>0.12768970124095044</v>
      </c>
      <c r="BT206" s="85">
        <f>+'Situfin serie mensual'!GW74</f>
        <v>1101.3372796540002</v>
      </c>
      <c r="BU206" s="85">
        <f>SUMIFS($BT$3:$BT206,$D$3:$D206,D206)</f>
        <v>6954.6696003530014</v>
      </c>
      <c r="BV206" s="56">
        <f t="shared" si="164"/>
        <v>6954.6696003530014</v>
      </c>
      <c r="BW206" s="100">
        <f t="shared" si="178"/>
        <v>0.29972007285622859</v>
      </c>
      <c r="BX206" s="100">
        <f t="shared" si="179"/>
        <v>0.48350855027267059</v>
      </c>
      <c r="BY206" s="100">
        <f t="shared" si="186"/>
        <v>0.48350855027267059</v>
      </c>
      <c r="BZ206" s="85">
        <f t="shared" si="211"/>
        <v>158.39461301860985</v>
      </c>
      <c r="CA206" s="85">
        <f>Datos1[[#This Row],[Adquisición Neta de Activos no Financieros]]/Datos1[[#This Row],[PIB nominal (miles de millones de G.)]]*100</f>
        <v>0.46264149997173909</v>
      </c>
      <c r="CB206" s="85">
        <f>+Datos1[[#This Row],[ANANF acumulado por año]]/Datos1[[#This Row],[PIB nominal (miles de millones de G.)]]*100</f>
        <v>2.9214654176838497</v>
      </c>
      <c r="CC206" s="85">
        <f>+Datos1[[#This Row],[ANANF acumulado 12 meses]]/Datos1[[#This Row],[PIB nominal (miles de millones de G.)]]*100</f>
        <v>2.9214654176838497</v>
      </c>
      <c r="CD206" s="1">
        <f>704036735807/1000000000</f>
        <v>704.03673580700001</v>
      </c>
      <c r="CE206" s="86">
        <f t="shared" si="212"/>
        <v>101.25474582506564</v>
      </c>
      <c r="CF206" s="86">
        <f t="shared" si="213"/>
        <v>397.3005438470002</v>
      </c>
      <c r="CG206" s="86">
        <f t="shared" si="214"/>
        <v>57.13986719354422</v>
      </c>
      <c r="CH206" s="85">
        <f t="shared" si="215"/>
        <v>-2547.9457134830004</v>
      </c>
      <c r="CI206" s="85">
        <f>SUMIFS($CH$3:$CH206,$D$3:$D206,D206)</f>
        <v>-6650.6989703660001</v>
      </c>
      <c r="CJ206" s="85">
        <f t="shared" ref="CJ206:CJ214" si="230">SUM(CH195:CH206)</f>
        <v>-6650.6989703660001</v>
      </c>
      <c r="CK206" s="85">
        <f>Datos1[[#This Row],[Resultado Fiscal (miles de millones de G.)]]*1000/$F$207</f>
        <v>-366.44621292249002</v>
      </c>
      <c r="CL206" s="56">
        <f t="shared" si="165"/>
        <v>-956.50524973179904</v>
      </c>
      <c r="CM206" s="100">
        <f t="shared" si="180"/>
        <v>0.22277351973482462</v>
      </c>
      <c r="CN206" s="100">
        <f t="shared" si="181"/>
        <v>1.2339061092442742</v>
      </c>
      <c r="CO206" s="100">
        <f t="shared" si="187"/>
        <v>1.2339061092442742</v>
      </c>
      <c r="CP206" s="86">
        <f t="shared" si="216"/>
        <v>-1.0703219154650512</v>
      </c>
      <c r="CQ206" s="86">
        <f t="shared" ref="CQ206:CQ212" si="231">+CJ206/E206*100</f>
        <v>-2.7937757164428985</v>
      </c>
      <c r="CR206" s="87">
        <v>2724.6396591389998</v>
      </c>
      <c r="CS206" s="113">
        <f>SUM(Datos1[[#This Row],[FFPP]:[MTESS]])</f>
        <v>0</v>
      </c>
      <c r="CT206" s="113"/>
      <c r="CU206" s="113"/>
      <c r="CV206" s="113"/>
      <c r="CW206" s="113"/>
      <c r="CX206" s="113"/>
      <c r="CY206" s="113"/>
      <c r="CZ206" s="113"/>
    </row>
    <row r="207" spans="1:104" s="122" customFormat="1">
      <c r="A207" s="114">
        <v>205</v>
      </c>
      <c r="B207" s="115">
        <v>43831</v>
      </c>
      <c r="C207" s="116" t="str">
        <f t="shared" si="221"/>
        <v>Enero</v>
      </c>
      <c r="D207" s="116">
        <f t="shared" si="222"/>
        <v>2020</v>
      </c>
      <c r="E207" s="117">
        <f t="shared" si="223"/>
        <v>239247.40419212345</v>
      </c>
      <c r="F207" s="117">
        <f t="shared" si="224"/>
        <v>6953.1233333333348</v>
      </c>
      <c r="G207" s="85">
        <f>+'Situfin serie mensual'!GX2</f>
        <v>2524.8434527580002</v>
      </c>
      <c r="H207" s="118">
        <f t="shared" si="225"/>
        <v>1.0553274177764824</v>
      </c>
      <c r="I207" s="119">
        <f>SUMIFS($G$3:$G207,$D$3:$D207,D207)</f>
        <v>2524.8434527580002</v>
      </c>
      <c r="J207" s="120">
        <f t="shared" ref="J207:J214" si="232">SUM(G196:G207)</f>
        <v>33414.815102505003</v>
      </c>
      <c r="K207" s="95">
        <f t="shared" si="166"/>
        <v>-7.9446616387900848E-2</v>
      </c>
      <c r="L207" s="95">
        <f t="shared" si="167"/>
        <v>-7.9446616387900848E-2</v>
      </c>
      <c r="M207" s="95">
        <f t="shared" si="182"/>
        <v>1.6401958759009405E-2</v>
      </c>
      <c r="N207" s="118">
        <f>+'Situfin serie mensual'!GX4</f>
        <v>1987.3436059480002</v>
      </c>
      <c r="O207" s="118">
        <f t="shared" si="201"/>
        <v>0.83066464719178246</v>
      </c>
      <c r="P207" s="118">
        <f>SUMIFS($N$3:$N207,$D$3:$D207,D207)</f>
        <v>1987.3436059480002</v>
      </c>
      <c r="Q207" s="120">
        <f t="shared" si="228"/>
        <v>23715.278247245999</v>
      </c>
      <c r="R207" s="97">
        <f t="shared" si="168"/>
        <v>7.4633984764652439E-2</v>
      </c>
      <c r="S207" s="97">
        <f t="shared" si="169"/>
        <v>7.4633984764652439E-2</v>
      </c>
      <c r="T207" s="97">
        <f t="shared" si="183"/>
        <v>2.5966561846418212E-2</v>
      </c>
      <c r="U207" s="118">
        <v>1086.5320040129998</v>
      </c>
      <c r="V207" s="120">
        <f t="shared" ref="V207:V214" si="233">SUM(U196:U207)</f>
        <v>13963.778193781998</v>
      </c>
      <c r="W207" s="97">
        <f t="shared" si="188"/>
        <v>8.9082624494242646E-2</v>
      </c>
      <c r="X207" s="97">
        <f t="shared" si="170"/>
        <v>4.1782063486943466E-2</v>
      </c>
      <c r="Y207" s="118">
        <v>864.23898674100019</v>
      </c>
      <c r="Z207" s="120">
        <f t="shared" ref="Z207:Z214" si="234">SUM(Y196:Y207)</f>
        <v>9735.7220169429984</v>
      </c>
      <c r="AA207" s="97">
        <f t="shared" si="189"/>
        <v>-4.6527046014293028E-2</v>
      </c>
      <c r="AB207" s="97">
        <f t="shared" si="171"/>
        <v>0.13186962799881652</v>
      </c>
      <c r="AC207" s="118">
        <f>+'Situfin serie mensual'!GX13</f>
        <v>152.482808861</v>
      </c>
      <c r="AD207" s="118">
        <f t="shared" si="202"/>
        <v>6.3734362918542412E-2</v>
      </c>
      <c r="AE207" s="118">
        <f>+'Situfin serie mensual'!GX15</f>
        <v>68.606051839000003</v>
      </c>
      <c r="AF207" s="118">
        <f t="shared" si="203"/>
        <v>2.8675776889059628E-2</v>
      </c>
      <c r="AG207" s="118">
        <f>+'Situfin serie mensual'!GX25</f>
        <v>316.41098610999995</v>
      </c>
      <c r="AH207" s="118">
        <f t="shared" si="204"/>
        <v>45.506310033812127</v>
      </c>
      <c r="AI207" s="118">
        <v>148.70394378200001</v>
      </c>
      <c r="AJ207" s="118">
        <f t="shared" si="205"/>
        <v>21.386639737729372</v>
      </c>
      <c r="AK207" s="102">
        <f>SUMIFS($AJ$3:$AJ207,$D$3:$D207,D207)</f>
        <v>21.386639737729372</v>
      </c>
      <c r="AL207" s="118">
        <v>0</v>
      </c>
      <c r="AM207" s="118">
        <f t="shared" si="206"/>
        <v>0</v>
      </c>
      <c r="AN207" s="102">
        <f>SUMIFS($AM$3:$AM207,$D$3:$D207,D207)</f>
        <v>0</v>
      </c>
      <c r="AO207" s="118">
        <f t="shared" si="226"/>
        <v>167.70704232799994</v>
      </c>
      <c r="AP207" s="85">
        <f>+'Situfin serie mensual'!GX34</f>
        <v>2401.9889045110003</v>
      </c>
      <c r="AQ207" s="118">
        <f t="shared" si="207"/>
        <v>1.0039769972100199</v>
      </c>
      <c r="AR207" s="118">
        <f>SUMIFS($AP$3:$AP207,$D$3:$D207,D207)</f>
        <v>2401.9889045110003</v>
      </c>
      <c r="AS207" s="120">
        <f t="shared" ref="AS207:AS214" si="235">SUM(AP196:AP207)</f>
        <v>33489.892748329999</v>
      </c>
      <c r="AT207" s="97">
        <f t="shared" si="172"/>
        <v>7.1913329950744842E-2</v>
      </c>
      <c r="AU207" s="97">
        <f t="shared" si="173"/>
        <v>7.1913329950744842E-2</v>
      </c>
      <c r="AV207" s="97">
        <f t="shared" si="197"/>
        <v>7.3105399107809443E-2</v>
      </c>
      <c r="AW207" s="118">
        <f>+'Situfin serie mensual'!GX35</f>
        <v>1256.0337295929999</v>
      </c>
      <c r="AX207" s="118">
        <f>SUMIFS($AW$3:$AW207,$D$3:$D207,D207)</f>
        <v>1256.0337295929999</v>
      </c>
      <c r="AY207" s="120">
        <f t="shared" ref="AY207:AY214" si="236">SUM(AW196:AW207)</f>
        <v>16523.130022107001</v>
      </c>
      <c r="AZ207" s="97">
        <f t="shared" si="174"/>
        <v>7.8654035020004009E-2</v>
      </c>
      <c r="BA207" s="97">
        <f t="shared" si="175"/>
        <v>7.8654035020004009E-2</v>
      </c>
      <c r="BB207" s="97">
        <f t="shared" si="190"/>
        <v>8.1494115973434145E-2</v>
      </c>
      <c r="BC207" s="118">
        <v>938.335097443</v>
      </c>
      <c r="BD207" s="118">
        <f t="shared" si="227"/>
        <v>317.69863214999987</v>
      </c>
      <c r="BE207" s="118">
        <f>+'Situfin serie mensual'!GX36</f>
        <v>166.35886689699998</v>
      </c>
      <c r="BF207" s="118">
        <f>+'Situfin serie mensual'!GX41</f>
        <v>135.35211587500001</v>
      </c>
      <c r="BG207" s="118">
        <f t="shared" si="208"/>
        <v>19.466376387446022</v>
      </c>
      <c r="BH207" s="118">
        <f>Datos1[[#This Row],[Intereses]]/Datos1[[#This Row],[PIB nominal (miles de millones de G.)]]*100</f>
        <v>5.6574120974080808E-2</v>
      </c>
      <c r="BI207" s="118">
        <f>+'Situfin serie mensual'!GX45</f>
        <v>305.35630844599996</v>
      </c>
      <c r="BJ207" s="118">
        <f>+'Situfin serie mensual'!GX55</f>
        <v>497.644703252</v>
      </c>
      <c r="BK207" s="118">
        <f>+'Situfin serie mensual'!GX59</f>
        <v>41.243180448000004</v>
      </c>
      <c r="BL207" s="85">
        <f>+'Situfin serie mensual'!GX71</f>
        <v>122.85454824699991</v>
      </c>
      <c r="BM207" s="85">
        <f>SUMIFS($BL$3:$BL207,$D$3:$D207,D207)</f>
        <v>122.85454824699991</v>
      </c>
      <c r="BN207" s="56">
        <f t="shared" si="229"/>
        <v>-75.077645824999308</v>
      </c>
      <c r="BO207" s="100">
        <f t="shared" si="176"/>
        <v>-0.75522244076363654</v>
      </c>
      <c r="BP207" s="100">
        <f t="shared" si="177"/>
        <v>-0.75522244076363654</v>
      </c>
      <c r="BQ207" s="100">
        <f t="shared" si="185"/>
        <v>-1.0450321735031296</v>
      </c>
      <c r="BR207" s="118">
        <f t="shared" si="210"/>
        <v>5.135042056646253E-2</v>
      </c>
      <c r="BS207" s="118">
        <f>+Datos1[[#This Row],[RON acumulado 12 meses]]/Datos1[[#This Row],[PIB nominal (miles de millones de G.)]]*100</f>
        <v>-3.138075670184054E-2</v>
      </c>
      <c r="BT207" s="85">
        <f>+'Situfin serie mensual'!GX74</f>
        <v>192.15273772799995</v>
      </c>
      <c r="BU207" s="85">
        <f>SUMIFS($BT$3:$BT207,$D$3:$D207,D207)</f>
        <v>192.15273772799995</v>
      </c>
      <c r="BV207" s="56">
        <f t="shared" ref="BV207:BV214" si="237">SUM(BT196:BT207)</f>
        <v>7031.9390765700009</v>
      </c>
      <c r="BW207" s="100">
        <f t="shared" si="178"/>
        <v>0.6725912478520768</v>
      </c>
      <c r="BX207" s="100">
        <f t="shared" si="179"/>
        <v>0.6725912478520768</v>
      </c>
      <c r="BY207" s="100">
        <f t="shared" si="186"/>
        <v>0.51916448181025188</v>
      </c>
      <c r="BZ207" s="85">
        <f t="shared" si="211"/>
        <v>27.63545654466073</v>
      </c>
      <c r="CA207" s="85">
        <f>Datos1[[#This Row],[Adquisición Neta de Activos no Financieros]]/Datos1[[#This Row],[PIB nominal (miles de millones de G.)]]*100</f>
        <v>8.0315495324536537E-2</v>
      </c>
      <c r="CB207" s="85">
        <f>+Datos1[[#This Row],[ANANF acumulado por año]]/Datos1[[#This Row],[PIB nominal (miles de millones de G.)]]*100</f>
        <v>8.0315495324536537E-2</v>
      </c>
      <c r="CC207" s="85">
        <f>+Datos1[[#This Row],[ANANF acumulado 12 meses]]/Datos1[[#This Row],[PIB nominal (miles de millones de G.)]]*100</f>
        <v>2.9391913781949022</v>
      </c>
      <c r="CD207" s="118">
        <v>115.315059572</v>
      </c>
      <c r="CE207" s="118">
        <f t="shared" si="212"/>
        <v>16.584641756486409</v>
      </c>
      <c r="CF207" s="118">
        <f t="shared" si="213"/>
        <v>76.837678155999953</v>
      </c>
      <c r="CG207" s="118">
        <f t="shared" si="214"/>
        <v>11.050814788174321</v>
      </c>
      <c r="CH207" s="85">
        <f t="shared" si="215"/>
        <v>-69.298189481000037</v>
      </c>
      <c r="CI207" s="85">
        <f>SUMIFS($CH$3:$CH207,$D$3:$D207,D207)</f>
        <v>-69.298189481000037</v>
      </c>
      <c r="CJ207" s="85">
        <f t="shared" si="230"/>
        <v>-7107.0167223949993</v>
      </c>
      <c r="CK207" s="85">
        <f>Datos1[[#This Row],[Resultado Fiscal (miles de millones de G.)]]*1000/$F$207</f>
        <v>-9.9664835727541181</v>
      </c>
      <c r="CL207" s="56">
        <f t="shared" ref="CL207:CL214" si="238">SUM(CK196:CK207)</f>
        <v>-1022.132987102918</v>
      </c>
      <c r="CM207" s="100">
        <f t="shared" si="180"/>
        <v>-1.1790560379552013</v>
      </c>
      <c r="CN207" s="100">
        <f t="shared" si="181"/>
        <v>-1.1790560379552013</v>
      </c>
      <c r="CO207" s="100">
        <f t="shared" si="187"/>
        <v>1.3997058467093826</v>
      </c>
      <c r="CP207" s="118">
        <f t="shared" si="216"/>
        <v>-2.8965074758074007E-2</v>
      </c>
      <c r="CQ207" s="118">
        <f t="shared" si="231"/>
        <v>-2.970572134896742</v>
      </c>
      <c r="CR207" s="121">
        <v>1370.2931274770001</v>
      </c>
      <c r="CS207" s="113">
        <f>SUM(Datos1[[#This Row],[FFPP]:[MTESS]])</f>
        <v>0</v>
      </c>
      <c r="CT207" s="113"/>
      <c r="CU207" s="113"/>
      <c r="CV207" s="113"/>
      <c r="CW207" s="113"/>
      <c r="CX207" s="113"/>
      <c r="CY207" s="113"/>
      <c r="CZ207" s="113"/>
    </row>
    <row r="208" spans="1:104" s="122" customFormat="1">
      <c r="A208" s="114">
        <v>206</v>
      </c>
      <c r="B208" s="115">
        <v>43862</v>
      </c>
      <c r="C208" s="116" t="str">
        <f t="shared" si="221"/>
        <v>Febrero</v>
      </c>
      <c r="D208" s="116">
        <f t="shared" si="222"/>
        <v>2020</v>
      </c>
      <c r="E208" s="117">
        <f t="shared" si="223"/>
        <v>239247.40419212345</v>
      </c>
      <c r="F208" s="117">
        <f t="shared" si="224"/>
        <v>6953.1233333333348</v>
      </c>
      <c r="G208" s="85">
        <f>+'Situfin serie mensual'!GY2</f>
        <v>2807.4076824540002</v>
      </c>
      <c r="H208" s="118">
        <f t="shared" si="225"/>
        <v>1.1734328704354762</v>
      </c>
      <c r="I208" s="119">
        <f>SUMIFS($G$3:$G208,$D$3:$D208,D208)</f>
        <v>5332.251135212</v>
      </c>
      <c r="J208" s="120">
        <f t="shared" si="232"/>
        <v>33564.045872044</v>
      </c>
      <c r="K208" s="95">
        <f t="shared" si="166"/>
        <v>-1.2714692134215055E-2</v>
      </c>
      <c r="L208" s="95">
        <f t="shared" si="167"/>
        <v>5.6140269977497992E-2</v>
      </c>
      <c r="M208" s="95">
        <f t="shared" si="182"/>
        <v>1.7389195328729734E-3</v>
      </c>
      <c r="N208" s="118">
        <f>+'Situfin serie mensual'!GY4</f>
        <v>1689.8486228659999</v>
      </c>
      <c r="O208" s="118">
        <f t="shared" si="201"/>
        <v>0.70631847754928889</v>
      </c>
      <c r="P208" s="118">
        <f>SUMIFS($N$3:$N208,$D$3:$D208,D208)</f>
        <v>3677.1922288140004</v>
      </c>
      <c r="Q208" s="120">
        <f t="shared" si="228"/>
        <v>23810.080449303001</v>
      </c>
      <c r="R208" s="97">
        <f t="shared" ref="R208:R212" si="239">IFERROR(N208/N196-1,0)</f>
        <v>5.9435387472244861E-2</v>
      </c>
      <c r="S208" s="97">
        <f t="shared" ref="S208:S212" si="240">IFERROR(P208/P196-1,0)</f>
        <v>6.7595692224536874E-2</v>
      </c>
      <c r="T208" s="97">
        <f t="shared" si="183"/>
        <v>2.300936066876802E-2</v>
      </c>
      <c r="U208" s="118">
        <v>940.20620885400012</v>
      </c>
      <c r="V208" s="120">
        <f t="shared" si="233"/>
        <v>14026.357600081999</v>
      </c>
      <c r="W208" s="97">
        <f t="shared" si="188"/>
        <v>8.2172165180851797E-2</v>
      </c>
      <c r="X208" s="97">
        <f t="shared" ref="X208:X212" si="241">IFERROR(U208/U196-1,0)</f>
        <v>7.1305258816032779E-2</v>
      </c>
      <c r="Y208" s="118">
        <v>784.50168923499996</v>
      </c>
      <c r="Z208" s="120">
        <f t="shared" si="234"/>
        <v>9764.2363459680018</v>
      </c>
      <c r="AA208" s="97">
        <f t="shared" si="189"/>
        <v>-4.2823900736070453E-2</v>
      </c>
      <c r="AB208" s="97">
        <f t="shared" ref="AB208:AB212" si="242">IFERROR(Y208/Y196-1,0)</f>
        <v>3.771799705365364E-2</v>
      </c>
      <c r="AC208" s="118">
        <f>+'Situfin serie mensual'!GY13</f>
        <v>509.97408698000004</v>
      </c>
      <c r="AD208" s="118">
        <f t="shared" si="202"/>
        <v>0.21315762597385349</v>
      </c>
      <c r="AE208" s="118">
        <f>+'Situfin serie mensual'!GY15</f>
        <v>118.68321391800001</v>
      </c>
      <c r="AF208" s="118">
        <f t="shared" si="203"/>
        <v>4.9606897227897837E-2</v>
      </c>
      <c r="AG208" s="118">
        <f>+'Situfin serie mensual'!GY25</f>
        <v>488.90175869000001</v>
      </c>
      <c r="AH208" s="118">
        <f t="shared" si="204"/>
        <v>70.313977654646308</v>
      </c>
      <c r="AI208" s="118">
        <v>362.57187251200003</v>
      </c>
      <c r="AJ208" s="118">
        <f t="shared" ref="AJ208:AJ213" si="243">AI208*1000/$F$207</f>
        <v>52.145180680720458</v>
      </c>
      <c r="AK208" s="102">
        <f>SUMIFS($AJ$3:$AJ208,$D$3:$D208,D208)</f>
        <v>73.531820418449826</v>
      </c>
      <c r="AL208" s="118">
        <v>0</v>
      </c>
      <c r="AM208" s="118">
        <f t="shared" ref="AM208:AM213" si="244">AL208*1000/$F$207</f>
        <v>0</v>
      </c>
      <c r="AN208" s="102">
        <f>SUMIFS($AM$3:$AM208,$D$3:$D208,D208)</f>
        <v>0</v>
      </c>
      <c r="AO208" s="118">
        <f t="shared" si="226"/>
        <v>126.32988617799998</v>
      </c>
      <c r="AP208" s="85">
        <f>+'Situfin serie mensual'!GY34</f>
        <v>2714.0074014949996</v>
      </c>
      <c r="AQ208" s="118">
        <f t="shared" si="207"/>
        <v>1.1343936669488641</v>
      </c>
      <c r="AR208" s="118">
        <f>SUMIFS($AP$3:$AP208,$D$3:$D208,D208)</f>
        <v>5115.9963060059999</v>
      </c>
      <c r="AS208" s="120">
        <f t="shared" si="235"/>
        <v>33565.552037473994</v>
      </c>
      <c r="AT208" s="97">
        <f t="shared" si="172"/>
        <v>2.8676765128078818E-2</v>
      </c>
      <c r="AU208" s="97">
        <f t="shared" si="173"/>
        <v>4.8533814954526244E-2</v>
      </c>
      <c r="AV208" s="97">
        <f t="shared" si="197"/>
        <v>7.6990827447286359E-2</v>
      </c>
      <c r="AW208" s="118">
        <f>+'Situfin serie mensual'!GY35</f>
        <v>1319.5625471020001</v>
      </c>
      <c r="AX208" s="118">
        <f>SUMIFS($AW$3:$AW208,$D$3:$D208,D208)</f>
        <v>2575.5962766949997</v>
      </c>
      <c r="AY208" s="120">
        <f t="shared" si="236"/>
        <v>16617.808192157001</v>
      </c>
      <c r="AZ208" s="97">
        <f t="shared" ref="AZ208:AZ212" si="245">IFERROR(AW208/AW196-1,0)</f>
        <v>7.7295597710101971E-2</v>
      </c>
      <c r="BA208" s="97">
        <f t="shared" ref="BA208:BA212" si="246">IFERROR(AX208/AX196-1,0)</f>
        <v>7.7957635279007009E-2</v>
      </c>
      <c r="BB208" s="97">
        <f t="shared" si="190"/>
        <v>8.3784800082367994E-2</v>
      </c>
      <c r="BC208" s="118">
        <v>946.25121296700001</v>
      </c>
      <c r="BD208" s="118">
        <f t="shared" si="227"/>
        <v>373.31133413500004</v>
      </c>
      <c r="BE208" s="118">
        <f>+'Situfin serie mensual'!GY36</f>
        <v>254.88371343099999</v>
      </c>
      <c r="BF208" s="118">
        <f>+'Situfin serie mensual'!GY41</f>
        <v>317.80527714399994</v>
      </c>
      <c r="BG208" s="118">
        <f t="shared" ref="BG208:BG213" si="247">+BF208/$F$207*1000</f>
        <v>45.7068373317123</v>
      </c>
      <c r="BH208" s="118">
        <f>Datos1[[#This Row],[Intereses]]/Datos1[[#This Row],[PIB nominal (miles de millones de G.)]]*100</f>
        <v>0.13283541287193737</v>
      </c>
      <c r="BI208" s="118">
        <f>+'Situfin serie mensual'!GY45</f>
        <v>318.92269044900002</v>
      </c>
      <c r="BJ208" s="118">
        <f>+'Situfin serie mensual'!GY55</f>
        <v>461.07844755899998</v>
      </c>
      <c r="BK208" s="118">
        <f>+'Situfin serie mensual'!GY59</f>
        <v>41.754725809999996</v>
      </c>
      <c r="BL208" s="85">
        <f>+'Situfin serie mensual'!GY71</f>
        <v>93.400280959000611</v>
      </c>
      <c r="BM208" s="85">
        <f>SUMIFS($BL$3:$BL208,$D$3:$D208,D208)</f>
        <v>216.25482920600052</v>
      </c>
      <c r="BN208" s="56">
        <f t="shared" si="229"/>
        <v>-1.5061654299988732</v>
      </c>
      <c r="BO208" s="100">
        <f t="shared" si="176"/>
        <v>3.7103343773890094</v>
      </c>
      <c r="BP208" s="100">
        <f t="shared" si="177"/>
        <v>-0.58550561438121562</v>
      </c>
      <c r="BQ208" s="100">
        <f t="shared" si="185"/>
        <v>-1.0006437346895285</v>
      </c>
      <c r="BR208" s="118">
        <f t="shared" si="210"/>
        <v>3.9039203486612183E-2</v>
      </c>
      <c r="BS208" s="118">
        <f>+Datos1[[#This Row],[RON acumulado 12 meses]]/Datos1[[#This Row],[PIB nominal (miles de millones de G.)]]*100</f>
        <v>-6.295430602830588E-4</v>
      </c>
      <c r="BT208" s="85">
        <f>+'Situfin serie mensual'!GY74</f>
        <v>329.84726874999996</v>
      </c>
      <c r="BU208" s="85">
        <f>SUMIFS($BT$3:$BT208,$D$3:$D208,D208)</f>
        <v>522.00000647799993</v>
      </c>
      <c r="BV208" s="56">
        <f t="shared" si="237"/>
        <v>7159.6163457170005</v>
      </c>
      <c r="BW208" s="100">
        <f t="shared" si="178"/>
        <v>0.63153420090873547</v>
      </c>
      <c r="BX208" s="100">
        <f t="shared" si="179"/>
        <v>0.64641109397171337</v>
      </c>
      <c r="BY208" s="100">
        <f t="shared" si="186"/>
        <v>0.52460825866353322</v>
      </c>
      <c r="BZ208" s="85">
        <f t="shared" ref="BZ208:BZ213" si="248">BT208*1000/$F$207</f>
        <v>47.438719685685598</v>
      </c>
      <c r="CA208" s="85">
        <f>Datos1[[#This Row],[Adquisición Neta de Activos no Financieros]]/Datos1[[#This Row],[PIB nominal (miles de millones de G.)]]*100</f>
        <v>0.13786869281353703</v>
      </c>
      <c r="CB208" s="85">
        <f>+Datos1[[#This Row],[ANANF acumulado por año]]/Datos1[[#This Row],[PIB nominal (miles de millones de G.)]]*100</f>
        <v>0.21818418813807355</v>
      </c>
      <c r="CC208" s="85">
        <f>+Datos1[[#This Row],[ANANF acumulado 12 meses]]/Datos1[[#This Row],[PIB nominal (miles de millones de G.)]]*100</f>
        <v>2.9925575869435956</v>
      </c>
      <c r="CD208" s="118">
        <v>250.07881426700001</v>
      </c>
      <c r="CE208" s="118">
        <f t="shared" ref="CE208:CE213" si="249">CD208*1000/$F$207</f>
        <v>35.966399886525807</v>
      </c>
      <c r="CF208" s="118">
        <f t="shared" ref="CF208:CF213" si="250">+BT208-CD208</f>
        <v>79.768454482999942</v>
      </c>
      <c r="CG208" s="118">
        <f t="shared" ref="CG208:CG213" si="251">CF208*1000/$F$207</f>
        <v>11.47231979915979</v>
      </c>
      <c r="CH208" s="85">
        <f t="shared" ref="CH208:CH213" si="252">+BL208-BT208</f>
        <v>-236.44698779099934</v>
      </c>
      <c r="CI208" s="85">
        <f>SUMIFS($CH$3:$CH208,$D$3:$D208,D208)</f>
        <v>-305.74517727199941</v>
      </c>
      <c r="CJ208" s="85">
        <f t="shared" si="230"/>
        <v>-7161.1225111469994</v>
      </c>
      <c r="CK208" s="85">
        <f>Datos1[[#This Row],[Resultado Fiscal (miles de millones de G.)]]*1000/$F$207</f>
        <v>-34.005867069475151</v>
      </c>
      <c r="CL208" s="56">
        <f t="shared" si="238"/>
        <v>-1029.9144956650653</v>
      </c>
      <c r="CM208" s="100">
        <f t="shared" si="180"/>
        <v>0.29672827115953759</v>
      </c>
      <c r="CN208" s="100">
        <f t="shared" si="181"/>
        <v>-2.4937835735556662</v>
      </c>
      <c r="CO208" s="100">
        <f t="shared" si="187"/>
        <v>2.0391301767476886</v>
      </c>
      <c r="CP208" s="118">
        <f t="shared" si="216"/>
        <v>-9.8829489326924827E-2</v>
      </c>
      <c r="CQ208" s="118">
        <f t="shared" si="231"/>
        <v>-2.9931871300038786</v>
      </c>
      <c r="CR208" s="121">
        <v>1444.3100956789999</v>
      </c>
      <c r="CS208" s="113">
        <f>SUM(Datos1[[#This Row],[FFPP]:[MTESS]])</f>
        <v>0</v>
      </c>
      <c r="CT208" s="113"/>
      <c r="CU208" s="113"/>
      <c r="CV208" s="113"/>
      <c r="CW208" s="113"/>
      <c r="CX208" s="113"/>
      <c r="CY208" s="113"/>
      <c r="CZ208" s="113"/>
    </row>
    <row r="209" spans="1:104" s="122" customFormat="1">
      <c r="A209" s="114">
        <v>207</v>
      </c>
      <c r="B209" s="115">
        <v>43891</v>
      </c>
      <c r="C209" s="116" t="str">
        <f t="shared" ref="C209:C214" si="253">VLOOKUP(MONTH(B209),Meses,2,0)</f>
        <v>Marzo</v>
      </c>
      <c r="D209" s="116">
        <f t="shared" ref="D209:D214" si="254">YEAR(B209)</f>
        <v>2020</v>
      </c>
      <c r="E209" s="117">
        <f t="shared" ref="E209:E214" si="255">VLOOKUP(D209,PIBNOMG,2,0)</f>
        <v>239247.40419212345</v>
      </c>
      <c r="F209" s="117">
        <f t="shared" ref="F209:F214" si="256">VLOOKUP(D209,cambio,2,0)</f>
        <v>6953.1233333333348</v>
      </c>
      <c r="G209" s="85">
        <f>+'Situfin serie mensual'!GZ2</f>
        <v>2723.141181985</v>
      </c>
      <c r="H209" s="118">
        <f t="shared" ref="H209:H214" si="257">G209/E209*100</f>
        <v>1.1382113804663181</v>
      </c>
      <c r="I209" s="119">
        <f>SUMIFS($G$3:$G209,$D$3:$D209,D209)</f>
        <v>8055.392317197</v>
      </c>
      <c r="J209" s="120">
        <f t="shared" si="232"/>
        <v>33819.543418118003</v>
      </c>
      <c r="K209" s="95">
        <f t="shared" ref="K209:K210" si="258">IFERROR(I209/I197-1,0)</f>
        <v>2.3743397084258655E-2</v>
      </c>
      <c r="L209" s="95">
        <f t="shared" ref="L209:L210" si="259">IFERROR(G209/G197-1,0)</f>
        <v>0.10353907766737791</v>
      </c>
      <c r="M209" s="95">
        <f t="shared" ref="M209:M210" si="260">J209/J197-1</f>
        <v>2.5758736018912654E-3</v>
      </c>
      <c r="N209" s="118">
        <f>+'Situfin serie mensual'!GZ4</f>
        <v>1670.3117746889998</v>
      </c>
      <c r="O209" s="118">
        <f t="shared" si="201"/>
        <v>0.69815251719416149</v>
      </c>
      <c r="P209" s="118">
        <f>SUMIFS($N$3:$N209,$D$3:$D209,D209)</f>
        <v>5347.5040035029997</v>
      </c>
      <c r="Q209" s="120">
        <f t="shared" si="228"/>
        <v>23684.550828708998</v>
      </c>
      <c r="R209" s="97">
        <f t="shared" si="239"/>
        <v>-6.9900170985989996E-2</v>
      </c>
      <c r="S209" s="97">
        <f t="shared" si="240"/>
        <v>2.0475290443782823E-2</v>
      </c>
      <c r="T209" s="97">
        <f t="shared" si="183"/>
        <v>9.7368912423185794E-3</v>
      </c>
      <c r="U209" s="118">
        <v>971.89771959899997</v>
      </c>
      <c r="V209" s="120">
        <f t="shared" si="233"/>
        <v>13944.409117414998</v>
      </c>
      <c r="W209" s="97">
        <f t="shared" si="188"/>
        <v>5.3363915525754146E-2</v>
      </c>
      <c r="X209" s="97">
        <f t="shared" si="241"/>
        <v>-7.7761330344781943E-2</v>
      </c>
      <c r="Y209" s="118">
        <v>694.19545658900006</v>
      </c>
      <c r="Z209" s="120">
        <f t="shared" si="234"/>
        <v>9717.2444491120004</v>
      </c>
      <c r="AA209" s="97">
        <f t="shared" si="189"/>
        <v>-3.9209676584738506E-2</v>
      </c>
      <c r="AB209" s="97">
        <f t="shared" si="242"/>
        <v>-6.3400834670996553E-2</v>
      </c>
      <c r="AC209" s="118">
        <f>+'Situfin serie mensual'!GZ13</f>
        <v>96.061613197</v>
      </c>
      <c r="AD209" s="118">
        <f t="shared" si="202"/>
        <v>4.0151580127431349E-2</v>
      </c>
      <c r="AE209" s="118">
        <f>+'Situfin serie mensual'!GZ15</f>
        <v>121.384719627</v>
      </c>
      <c r="AF209" s="118">
        <f t="shared" si="203"/>
        <v>5.0736065470338029E-2</v>
      </c>
      <c r="AG209" s="118">
        <f>+'Situfin serie mensual'!GZ25</f>
        <v>835.38307447199998</v>
      </c>
      <c r="AH209" s="118">
        <f t="shared" si="204"/>
        <v>120.14501029590058</v>
      </c>
      <c r="AI209" s="118">
        <v>210.088211398</v>
      </c>
      <c r="AJ209" s="118">
        <f t="shared" si="243"/>
        <v>30.214941016627051</v>
      </c>
      <c r="AK209" s="102">
        <f>SUMIFS($AJ$3:$AJ209,$D$3:$D209,D209)</f>
        <v>103.74676143507688</v>
      </c>
      <c r="AL209" s="118">
        <v>0</v>
      </c>
      <c r="AM209" s="118">
        <f t="shared" si="244"/>
        <v>0</v>
      </c>
      <c r="AN209" s="102">
        <f>SUMIFS($AM$3:$AM209,$D$3:$D209,D209)</f>
        <v>0</v>
      </c>
      <c r="AO209" s="118">
        <f t="shared" ref="AO209:AO214" si="261">+AG209-AI209-AL209</f>
        <v>625.29486307399998</v>
      </c>
      <c r="AP209" s="85">
        <f>+'Situfin serie mensual'!GZ34</f>
        <v>3219.5600083220002</v>
      </c>
      <c r="AQ209" s="118">
        <f t="shared" si="207"/>
        <v>1.3457032142913403</v>
      </c>
      <c r="AR209" s="118">
        <f>SUMIFS($AP$3:$AP209,$D$3:$D209,D209)</f>
        <v>8335.5563143279996</v>
      </c>
      <c r="AS209" s="120">
        <f t="shared" si="235"/>
        <v>33960.610935211</v>
      </c>
      <c r="AT209" s="97">
        <f t="shared" ref="AT209:AT210" si="262">IFERROR(AP209/AP197-1,0)</f>
        <v>0.13986855811686238</v>
      </c>
      <c r="AU209" s="97">
        <f t="shared" ref="AU209:AU210" si="263">IFERROR(AR209/AR197-1,0)</f>
        <v>8.2021017463848267E-2</v>
      </c>
      <c r="AV209" s="97">
        <f t="shared" ref="AV209:AV210" si="264">IFERROR(AS209/AS197-1,0)</f>
        <v>7.5580950987238271E-2</v>
      </c>
      <c r="AW209" s="118">
        <f>+'Situfin serie mensual'!GZ35</f>
        <v>1361.988430805</v>
      </c>
      <c r="AX209" s="118">
        <f>SUMIFS($AW$3:$AW209,$D$3:$D209,D209)</f>
        <v>3937.5847074999997</v>
      </c>
      <c r="AY209" s="120">
        <f t="shared" si="236"/>
        <v>16765.478626272998</v>
      </c>
      <c r="AZ209" s="97">
        <f t="shared" si="245"/>
        <v>0.12160771273969684</v>
      </c>
      <c r="BA209" s="97">
        <f t="shared" si="246"/>
        <v>9.2666363196097778E-2</v>
      </c>
      <c r="BB209" s="97">
        <f t="shared" si="190"/>
        <v>8.960098789396187E-2</v>
      </c>
      <c r="BC209" s="118">
        <v>954.69697268799996</v>
      </c>
      <c r="BD209" s="118">
        <f t="shared" ref="BD209:BD214" si="265">+AW209-BC209</f>
        <v>407.29145811700005</v>
      </c>
      <c r="BE209" s="118">
        <f>+'Situfin serie mensual'!GZ36</f>
        <v>436.858880231</v>
      </c>
      <c r="BF209" s="118">
        <f>+'Situfin serie mensual'!GZ41</f>
        <v>331.74613227099996</v>
      </c>
      <c r="BG209" s="118">
        <f t="shared" si="247"/>
        <v>47.71181472944771</v>
      </c>
      <c r="BH209" s="118">
        <f>Datos1[[#This Row],[Intereses]]/Datos1[[#This Row],[PIB nominal (miles de millones de G.)]]*100</f>
        <v>0.13866237478781462</v>
      </c>
      <c r="BI209" s="118">
        <f>+'Situfin serie mensual'!GZ45</f>
        <v>349.75021752300006</v>
      </c>
      <c r="BJ209" s="118">
        <f>+'Situfin serie mensual'!GZ55</f>
        <v>503.29528442100002</v>
      </c>
      <c r="BK209" s="118">
        <f>+'Situfin serie mensual'!GZ59</f>
        <v>235.92106307100002</v>
      </c>
      <c r="BL209" s="85">
        <f>+'Situfin serie mensual'!GZ71</f>
        <v>-496.41882633700016</v>
      </c>
      <c r="BM209" s="85">
        <f>SUMIFS($BL$3:$BL209,$D$3:$D209,D209)</f>
        <v>-280.16399713099963</v>
      </c>
      <c r="BN209" s="56">
        <f t="shared" si="229"/>
        <v>-141.06751709299942</v>
      </c>
      <c r="BO209" s="100">
        <f t="shared" ref="BO209:BO210" si="266">IFERROR(BL209/BL197-1,0)</f>
        <v>0.391084288735984</v>
      </c>
      <c r="BP209" s="100">
        <f t="shared" ref="BP209:BP210" si="267">IFERROR(BM209/BM197-1,0)</f>
        <v>-2.6992596912109121</v>
      </c>
      <c r="BQ209" s="100">
        <f t="shared" ref="BQ209:BQ210" si="268">IFERROR(BN209/BN197-1,0)</f>
        <v>-1.0653559437500191</v>
      </c>
      <c r="BR209" s="118">
        <f t="shared" si="210"/>
        <v>-0.20749183382502229</v>
      </c>
      <c r="BS209" s="118">
        <f>+Datos1[[#This Row],[RON acumulado 12 meses]]/Datos1[[#This Row],[PIB nominal (miles de millones de G.)]]*100</f>
        <v>-5.8963029324956694E-2</v>
      </c>
      <c r="BT209" s="85">
        <f>+'Situfin serie mensual'!GZ74</f>
        <v>1087.0036912142689</v>
      </c>
      <c r="BU209" s="85">
        <f>SUMIFS($BT$3:$BT209,$D$3:$D209,D209)</f>
        <v>1609.0036976922688</v>
      </c>
      <c r="BV209" s="56">
        <f t="shared" si="237"/>
        <v>7676.179179852269</v>
      </c>
      <c r="BW209" s="100">
        <f t="shared" ref="BW209:BW210" si="269">IFERROR(BT209/BT197-1,0)</f>
        <v>0.90555020336443159</v>
      </c>
      <c r="BX209" s="100">
        <f t="shared" ref="BX209:BX210" si="270">IFERROR(BU209/BU197-1,0)</f>
        <v>0.81297392817465997</v>
      </c>
      <c r="BY209" s="100">
        <f t="shared" ref="BY209:BY210" si="271">IFERROR(BV209/BV197-1,0)</f>
        <v>0.54590060383351324</v>
      </c>
      <c r="BZ209" s="85">
        <f t="shared" si="248"/>
        <v>156.33315261404374</v>
      </c>
      <c r="CA209" s="85">
        <f>Datos1[[#This Row],[Adquisición Neta de Activos no Financieros]]/Datos1[[#This Row],[PIB nominal (miles de millones de G.)]]*100</f>
        <v>0.45434294047402479</v>
      </c>
      <c r="CB209" s="85">
        <f>+Datos1[[#This Row],[ANANF acumulado por año]]/Datos1[[#This Row],[PIB nominal (miles de millones de G.)]]*100</f>
        <v>0.67252712861209829</v>
      </c>
      <c r="CC209" s="85">
        <f>+Datos1[[#This Row],[ANANF acumulado 12 meses]]/Datos1[[#This Row],[PIB nominal (miles de millones de G.)]]*100</f>
        <v>3.2084691601034248</v>
      </c>
      <c r="CD209" s="118">
        <v>983.87595240826909</v>
      </c>
      <c r="CE209" s="118">
        <f t="shared" si="249"/>
        <v>141.50129448899014</v>
      </c>
      <c r="CF209" s="118">
        <f t="shared" si="250"/>
        <v>103.1277388059998</v>
      </c>
      <c r="CG209" s="118">
        <f t="shared" si="251"/>
        <v>14.831858125053602</v>
      </c>
      <c r="CH209" s="85">
        <f t="shared" si="252"/>
        <v>-1583.422517551269</v>
      </c>
      <c r="CI209" s="85">
        <f>SUMIFS($CH$3:$CH209,$D$3:$D209,D209)</f>
        <v>-1889.1676948232684</v>
      </c>
      <c r="CJ209" s="85">
        <f t="shared" si="230"/>
        <v>-7817.2466969452689</v>
      </c>
      <c r="CK209" s="85">
        <f>Datos1[[#This Row],[Resultado Fiscal (miles de millones de G.)]]*1000/$F$207</f>
        <v>-227.728236886052</v>
      </c>
      <c r="CL209" s="56">
        <f t="shared" si="238"/>
        <v>-1124.278446129284</v>
      </c>
      <c r="CM209" s="100">
        <f t="shared" ref="CM209:CM210" si="272">IFERROR(CH209/CH197-1,0)</f>
        <v>0.7075653684806138</v>
      </c>
      <c r="CN209" s="100">
        <f t="shared" ref="CN209:CN210" si="273">IFERROR(CI209/CI197-1,0)</f>
        <v>1.6143308763166817</v>
      </c>
      <c r="CO209" s="100">
        <f t="shared" ref="CO209:CO210" si="274">IFERROR(CJ209/CJ197-1,0)</f>
        <v>1.7848553915915066</v>
      </c>
      <c r="CP209" s="118">
        <f t="shared" si="216"/>
        <v>-0.66183477429904702</v>
      </c>
      <c r="CQ209" s="118">
        <f t="shared" si="231"/>
        <v>-3.2674321894283818</v>
      </c>
      <c r="CR209" s="121">
        <v>1549.1738843810001</v>
      </c>
      <c r="CS209" s="113">
        <f>SUM(Datos1[[#This Row],[FFPP]:[MTESS]])</f>
        <v>0</v>
      </c>
      <c r="CT209" s="113"/>
      <c r="CU209" s="113"/>
      <c r="CV209" s="113"/>
      <c r="CW209" s="113"/>
      <c r="CX209" s="113"/>
      <c r="CY209" s="113"/>
      <c r="CZ209" s="113"/>
    </row>
    <row r="210" spans="1:104" s="122" customFormat="1">
      <c r="A210" s="114">
        <v>208</v>
      </c>
      <c r="B210" s="115">
        <v>43922</v>
      </c>
      <c r="C210" s="116" t="str">
        <f t="shared" si="253"/>
        <v>Abril</v>
      </c>
      <c r="D210" s="116">
        <f t="shared" si="254"/>
        <v>2020</v>
      </c>
      <c r="E210" s="117">
        <f t="shared" si="255"/>
        <v>239247.40419212345</v>
      </c>
      <c r="F210" s="117">
        <f t="shared" si="256"/>
        <v>6953.1233333333348</v>
      </c>
      <c r="G210" s="85">
        <f>+'Situfin serie mensual'!HA2</f>
        <v>1667.9836523859999</v>
      </c>
      <c r="H210" s="118">
        <f t="shared" si="257"/>
        <v>0.69717941476454004</v>
      </c>
      <c r="I210" s="119">
        <f>SUMIFS($G$3:$G210,$D$3:$D210,D210)</f>
        <v>9723.3759695829995</v>
      </c>
      <c r="J210" s="120">
        <f t="shared" si="232"/>
        <v>32352.014166445995</v>
      </c>
      <c r="K210" s="95">
        <f t="shared" si="258"/>
        <v>-0.11638436974704447</v>
      </c>
      <c r="L210" s="95">
        <f t="shared" si="259"/>
        <v>-0.46803483084783837</v>
      </c>
      <c r="M210" s="95">
        <f t="shared" si="260"/>
        <v>-3.3557393804931168E-2</v>
      </c>
      <c r="N210" s="118">
        <f>+'Situfin serie mensual'!HA4</f>
        <v>1075.7768779329999</v>
      </c>
      <c r="O210" s="118">
        <f t="shared" si="201"/>
        <v>0.44965038662200746</v>
      </c>
      <c r="P210" s="118">
        <f>SUMIFS($N$3:$N210,$D$3:$D210,D210)</f>
        <v>6423.2808814359996</v>
      </c>
      <c r="Q210" s="120">
        <f t="shared" si="228"/>
        <v>22546.367955165999</v>
      </c>
      <c r="R210" s="97">
        <f t="shared" si="239"/>
        <v>-0.51409375115523126</v>
      </c>
      <c r="S210" s="97">
        <f t="shared" si="240"/>
        <v>-0.13829684773525586</v>
      </c>
      <c r="T210" s="97">
        <f t="shared" si="183"/>
        <v>-3.5534924343797791E-2</v>
      </c>
      <c r="U210" s="118">
        <v>665.89410610100015</v>
      </c>
      <c r="V210" s="120">
        <f t="shared" si="233"/>
        <v>13170.574221052999</v>
      </c>
      <c r="W210" s="97">
        <f t="shared" si="188"/>
        <v>-8.1224368680667958E-3</v>
      </c>
      <c r="X210" s="97">
        <f t="shared" si="241"/>
        <v>-0.53748649574897134</v>
      </c>
      <c r="Y210" s="118">
        <v>379.90875634500009</v>
      </c>
      <c r="Z210" s="120">
        <f t="shared" si="234"/>
        <v>9327.2963786439996</v>
      </c>
      <c r="AA210" s="97">
        <f t="shared" si="189"/>
        <v>-7.1062779055230507E-2</v>
      </c>
      <c r="AB210" s="97">
        <f t="shared" si="242"/>
        <v>-0.50652024751443703</v>
      </c>
      <c r="AC210" s="118">
        <f>+'Situfin serie mensual'!HA13</f>
        <v>156.87712756500002</v>
      </c>
      <c r="AD210" s="118">
        <f t="shared" si="202"/>
        <v>6.5571088678990461E-2</v>
      </c>
      <c r="AE210" s="118">
        <f>+'Situfin serie mensual'!HA15</f>
        <v>84.725666997999994</v>
      </c>
      <c r="AF210" s="118">
        <f t="shared" si="203"/>
        <v>3.5413411185837788E-2</v>
      </c>
      <c r="AG210" s="118">
        <f>+'Situfin serie mensual'!HA25</f>
        <v>350.60397989000001</v>
      </c>
      <c r="AH210" s="118">
        <f t="shared" si="204"/>
        <v>50.423955261831964</v>
      </c>
      <c r="AI210" s="118">
        <v>257.22049153900002</v>
      </c>
      <c r="AJ210" s="118">
        <f t="shared" si="243"/>
        <v>36.993517762856683</v>
      </c>
      <c r="AK210" s="102">
        <f>SUMIFS($AJ$3:$AJ210,$D$3:$D210,D210)</f>
        <v>140.74027919793355</v>
      </c>
      <c r="AL210" s="118">
        <v>0</v>
      </c>
      <c r="AM210" s="118">
        <f t="shared" si="244"/>
        <v>0</v>
      </c>
      <c r="AN210" s="102">
        <f>SUMIFS($AM$3:$AM210,$D$3:$D210,D210)</f>
        <v>0</v>
      </c>
      <c r="AO210" s="118">
        <f t="shared" si="261"/>
        <v>93.383488350999983</v>
      </c>
      <c r="AP210" s="85">
        <f>+'Situfin serie mensual'!HA34</f>
        <v>3402.4649257950005</v>
      </c>
      <c r="AQ210" s="118">
        <f t="shared" si="207"/>
        <v>1.4221533300577465</v>
      </c>
      <c r="AR210" s="118">
        <f>SUMIFS($AP$3:$AP210,$D$3:$D210,D210)</f>
        <v>11738.021240123</v>
      </c>
      <c r="AS210" s="120">
        <f t="shared" si="235"/>
        <v>34651.096647274004</v>
      </c>
      <c r="AT210" s="97">
        <f t="shared" si="262"/>
        <v>0.25460582756930905</v>
      </c>
      <c r="AU210" s="97">
        <f t="shared" si="263"/>
        <v>0.12695776922953583</v>
      </c>
      <c r="AV210" s="97">
        <f t="shared" si="264"/>
        <v>9.69659107633567E-2</v>
      </c>
      <c r="AW210" s="118">
        <f>+'Situfin serie mensual'!HA35</f>
        <v>1307.8856560160004</v>
      </c>
      <c r="AX210" s="118">
        <f>SUMIFS($AW$3:$AW210,$D$3:$D210,D210)</f>
        <v>5245.4703635160004</v>
      </c>
      <c r="AY210" s="120">
        <f t="shared" si="236"/>
        <v>16798.502771987001</v>
      </c>
      <c r="AZ210" s="97">
        <f t="shared" si="245"/>
        <v>2.5904104443609022E-2</v>
      </c>
      <c r="BA210" s="97">
        <f t="shared" si="246"/>
        <v>7.5219920222719283E-2</v>
      </c>
      <c r="BB210" s="97">
        <f t="shared" si="190"/>
        <v>8.4396604226162797E-2</v>
      </c>
      <c r="BC210" s="118">
        <v>948.59646981200001</v>
      </c>
      <c r="BD210" s="118">
        <f t="shared" si="265"/>
        <v>359.28918620400043</v>
      </c>
      <c r="BE210" s="118">
        <f>+'Situfin serie mensual'!HA36</f>
        <v>270.42160370300002</v>
      </c>
      <c r="BF210" s="118">
        <f>+'Situfin serie mensual'!HA41</f>
        <v>168.46883947400002</v>
      </c>
      <c r="BG210" s="118">
        <f t="shared" si="247"/>
        <v>24.229232159072875</v>
      </c>
      <c r="BH210" s="118">
        <f>Datos1[[#This Row],[Intereses]]/Datos1[[#This Row],[PIB nominal (miles de millones de G.)]]*100</f>
        <v>7.0416161898548352E-2</v>
      </c>
      <c r="BI210" s="118">
        <f>+'Situfin serie mensual'!HA45</f>
        <v>356.70846973199997</v>
      </c>
      <c r="BJ210" s="118">
        <f>+'Situfin serie mensual'!HA55</f>
        <v>1229.9007744839998</v>
      </c>
      <c r="BK210" s="118">
        <f>+'Situfin serie mensual'!HA59</f>
        <v>69.079582385999998</v>
      </c>
      <c r="BL210" s="85">
        <f>+'Situfin serie mensual'!HA71</f>
        <v>-1734.4812734090006</v>
      </c>
      <c r="BM210" s="85">
        <f>SUMIFS($BL$3:$BL210,$D$3:$D210,D210)</f>
        <v>-2014.6452705400002</v>
      </c>
      <c r="BN210" s="56">
        <f t="shared" si="229"/>
        <v>-2299.0824808279999</v>
      </c>
      <c r="BO210" s="100">
        <f t="shared" si="266"/>
        <v>-5.0952616356775433</v>
      </c>
      <c r="BP210" s="100">
        <f t="shared" si="267"/>
        <v>-4.423892634738567</v>
      </c>
      <c r="BQ210" s="100">
        <f t="shared" si="268"/>
        <v>-2.2182281748174502</v>
      </c>
      <c r="BR210" s="118">
        <f t="shared" si="210"/>
        <v>-0.72497391529320654</v>
      </c>
      <c r="BS210" s="118">
        <f>+Datos1[[#This Row],[RON acumulado 12 meses]]/Datos1[[#This Row],[PIB nominal (miles de millones de G.)]]*100</f>
        <v>-0.96096444121991886</v>
      </c>
      <c r="BT210" s="85">
        <f>+'Situfin serie mensual'!HA74</f>
        <v>625.24383709500023</v>
      </c>
      <c r="BU210" s="85">
        <f>SUMIFS($BT$3:$BT210,$D$3:$D210,D210)</f>
        <v>2234.2475347872692</v>
      </c>
      <c r="BV210" s="56">
        <f t="shared" si="237"/>
        <v>7897.8128846952686</v>
      </c>
      <c r="BW210" s="100">
        <f t="shared" si="269"/>
        <v>0.54912819855726513</v>
      </c>
      <c r="BX210" s="100">
        <f t="shared" si="270"/>
        <v>0.73049351670649365</v>
      </c>
      <c r="BY210" s="100">
        <f t="shared" si="271"/>
        <v>0.65561401538881725</v>
      </c>
      <c r="BZ210" s="85">
        <f t="shared" si="248"/>
        <v>89.922730709748194</v>
      </c>
      <c r="CA210" s="85">
        <f>Datos1[[#This Row],[Adquisición Neta de Activos no Financieros]]/Datos1[[#This Row],[PIB nominal (miles de millones de G.)]]*100</f>
        <v>0.2613377725899626</v>
      </c>
      <c r="CB210" s="85">
        <f>+Datos1[[#This Row],[ANANF acumulado por año]]/Datos1[[#This Row],[PIB nominal (miles de millones de G.)]]*100</f>
        <v>0.93386490120206089</v>
      </c>
      <c r="CC210" s="85">
        <f>+Datos1[[#This Row],[ANANF acumulado 12 meses]]/Datos1[[#This Row],[PIB nominal (miles de millones de G.)]]*100</f>
        <v>3.3011070324311933</v>
      </c>
      <c r="CD210" s="118">
        <v>552.34741683699997</v>
      </c>
      <c r="CE210" s="118">
        <f t="shared" si="249"/>
        <v>79.438748654010141</v>
      </c>
      <c r="CF210" s="118">
        <f t="shared" si="250"/>
        <v>72.896420258000262</v>
      </c>
      <c r="CG210" s="118">
        <f t="shared" si="251"/>
        <v>10.483982055738055</v>
      </c>
      <c r="CH210" s="85">
        <f t="shared" si="252"/>
        <v>-2359.7251105040009</v>
      </c>
      <c r="CI210" s="85">
        <f>SUMIFS($CH$3:$CH210,$D$3:$D210,D210)</f>
        <v>-4248.8928053272693</v>
      </c>
      <c r="CJ210" s="85">
        <f t="shared" si="230"/>
        <v>-10196.895365523271</v>
      </c>
      <c r="CK210" s="85">
        <f>Datos1[[#This Row],[Resultado Fiscal (miles de millones de G.)]]*1000/$F$207</f>
        <v>-339.37627701661177</v>
      </c>
      <c r="CL210" s="56">
        <f t="shared" si="238"/>
        <v>-1466.5201344321426</v>
      </c>
      <c r="CM210" s="100">
        <f t="shared" si="272"/>
        <v>-119.438940561697</v>
      </c>
      <c r="CN210" s="100">
        <f t="shared" si="273"/>
        <v>5.0465554453300205</v>
      </c>
      <c r="CO210" s="100">
        <f t="shared" si="274"/>
        <v>2.5367966080077142</v>
      </c>
      <c r="CP210" s="118">
        <f t="shared" si="216"/>
        <v>-0.98631168788316914</v>
      </c>
      <c r="CQ210" s="118">
        <f t="shared" si="231"/>
        <v>-4.2620714736511136</v>
      </c>
      <c r="CR210" s="121">
        <v>1425.0422138700001</v>
      </c>
      <c r="CS210" s="113" t="e">
        <f>SUM(Datos1[[#This Row],[FFPP]:[MTESS]])</f>
        <v>#REF!</v>
      </c>
      <c r="CT210" s="113" t="e">
        <f>+#REF!</f>
        <v>#REF!</v>
      </c>
      <c r="CU210" s="113" t="e">
        <f>+#REF!</f>
        <v>#REF!</v>
      </c>
      <c r="CV210" s="113" t="e">
        <f>+#REF!</f>
        <v>#REF!</v>
      </c>
      <c r="CW210" s="113" t="e">
        <f>+#REF!</f>
        <v>#REF!</v>
      </c>
      <c r="CX210" s="113"/>
      <c r="CY210" s="113"/>
      <c r="CZ210" s="113"/>
    </row>
    <row r="211" spans="1:104" s="122" customFormat="1">
      <c r="A211" s="114">
        <v>209</v>
      </c>
      <c r="B211" s="115">
        <v>43952</v>
      </c>
      <c r="C211" s="116" t="str">
        <f t="shared" si="253"/>
        <v>Mayo</v>
      </c>
      <c r="D211" s="116">
        <f t="shared" si="254"/>
        <v>2020</v>
      </c>
      <c r="E211" s="117">
        <f t="shared" si="255"/>
        <v>239247.40419212345</v>
      </c>
      <c r="F211" s="117">
        <f t="shared" si="256"/>
        <v>6953.1233333333348</v>
      </c>
      <c r="G211" s="85">
        <f>+'Situfin serie mensual'!HB2</f>
        <v>2052.2931209390003</v>
      </c>
      <c r="H211" s="118">
        <f t="shared" si="257"/>
        <v>0.85781207443778251</v>
      </c>
      <c r="I211" s="119">
        <f>SUMIFS($G$3:$G211,$D$3:$D211,D211)</f>
        <v>11775.669090522</v>
      </c>
      <c r="J211" s="120">
        <f t="shared" si="232"/>
        <v>31324.436800137002</v>
      </c>
      <c r="K211" s="95">
        <f t="shared" ref="K211:K212" si="275">IFERROR(I211/I199-1,0)</f>
        <v>-0.16389438061391215</v>
      </c>
      <c r="L211" s="95">
        <f t="shared" ref="L211" si="276">IFERROR(G211/G199-1,0)</f>
        <v>-0.33364304459022409</v>
      </c>
      <c r="M211" s="95">
        <f t="shared" ref="M211" si="277">J211/J199-1</f>
        <v>-6.7904520374342248E-2</v>
      </c>
      <c r="N211" s="118">
        <f>+'Situfin serie mensual'!HB4</f>
        <v>1448.0158133360003</v>
      </c>
      <c r="O211" s="118">
        <f t="shared" si="201"/>
        <v>0.6052378366342468</v>
      </c>
      <c r="P211" s="118">
        <f>SUMIFS($N$3:$N211,$D$3:$D211,D211)</f>
        <v>7871.2966947719997</v>
      </c>
      <c r="Q211" s="120">
        <f t="shared" si="228"/>
        <v>21714.914958877998</v>
      </c>
      <c r="R211" s="97">
        <f t="shared" si="239"/>
        <v>-0.36475734731599518</v>
      </c>
      <c r="S211" s="97">
        <f t="shared" si="240"/>
        <v>-0.1913304265648974</v>
      </c>
      <c r="T211" s="97">
        <f t="shared" si="183"/>
        <v>-7.4550486097391233E-2</v>
      </c>
      <c r="U211" s="118">
        <v>968.42606336999995</v>
      </c>
      <c r="V211" s="120">
        <f t="shared" si="233"/>
        <v>12675.374020190999</v>
      </c>
      <c r="W211" s="97">
        <f t="shared" si="188"/>
        <v>-5.0909817616838993E-2</v>
      </c>
      <c r="X211" s="97">
        <f t="shared" si="241"/>
        <v>-0.33833787556541517</v>
      </c>
      <c r="Y211" s="118">
        <v>538.71445264499994</v>
      </c>
      <c r="Z211" s="120">
        <f t="shared" si="234"/>
        <v>9063.5700562490001</v>
      </c>
      <c r="AA211" s="97">
        <f t="shared" si="189"/>
        <v>-9.5590312324492666E-2</v>
      </c>
      <c r="AB211" s="97">
        <f t="shared" si="242"/>
        <v>-0.32865518627446844</v>
      </c>
      <c r="AC211" s="118">
        <f>+'Situfin serie mensual'!HB13</f>
        <v>173.622812759</v>
      </c>
      <c r="AD211" s="118">
        <f t="shared" si="202"/>
        <v>7.2570406080383315E-2</v>
      </c>
      <c r="AE211" s="118">
        <f>+'Situfin serie mensual'!HB15</f>
        <v>81.076717403000004</v>
      </c>
      <c r="AF211" s="118">
        <f t="shared" si="203"/>
        <v>3.3888232842807675E-2</v>
      </c>
      <c r="AG211" s="118">
        <f>+'Situfin serie mensual'!HB25</f>
        <v>349.57777744100002</v>
      </c>
      <c r="AH211" s="118">
        <f t="shared" si="204"/>
        <v>50.276366559632429</v>
      </c>
      <c r="AI211" s="118">
        <v>252.35264162199999</v>
      </c>
      <c r="AJ211" s="118">
        <f t="shared" si="243"/>
        <v>36.293422326081746</v>
      </c>
      <c r="AK211" s="102">
        <f>SUMIFS($AJ$3:$AJ211,$D$3:$D211,D211)</f>
        <v>177.0337015240153</v>
      </c>
      <c r="AL211" s="118">
        <v>0</v>
      </c>
      <c r="AM211" s="118">
        <f t="shared" si="244"/>
        <v>0</v>
      </c>
      <c r="AN211" s="102">
        <f>SUMIFS($AM$3:$AM211,$D$3:$D211,D211)</f>
        <v>0</v>
      </c>
      <c r="AO211" s="118">
        <f t="shared" si="261"/>
        <v>97.22513581900003</v>
      </c>
      <c r="AP211" s="85">
        <f>+'Situfin serie mensual'!HB34</f>
        <v>2716.8508902850003</v>
      </c>
      <c r="AQ211" s="118">
        <f t="shared" si="207"/>
        <v>1.1355821809056204</v>
      </c>
      <c r="AR211" s="118">
        <f>SUMIFS($AP$3:$AP211,$D$3:$D211,D211)</f>
        <v>14454.872130408001</v>
      </c>
      <c r="AS211" s="120">
        <f t="shared" si="235"/>
        <v>34469.514025445002</v>
      </c>
      <c r="AT211" s="97">
        <f t="shared" ref="AT211" si="278">IFERROR(AP211/AP199-1,0)</f>
        <v>-6.2648537932671111E-2</v>
      </c>
      <c r="AU211" s="97">
        <f t="shared" ref="AU211" si="279">IFERROR(AR211/AR199-1,0)</f>
        <v>8.5681145743400355E-2</v>
      </c>
      <c r="AV211" s="97">
        <f t="shared" ref="AV211" si="280">IFERROR(AS211/AS199-1,0)</f>
        <v>7.2933939114858237E-2</v>
      </c>
      <c r="AW211" s="118">
        <f>+'Situfin serie mensual'!HB35</f>
        <v>1303.6119200159999</v>
      </c>
      <c r="AX211" s="118">
        <f>SUMIFS($AW$3:$AW211,$D$3:$D211,D211)</f>
        <v>6549.0822835320005</v>
      </c>
      <c r="AY211" s="120">
        <f t="shared" si="236"/>
        <v>16814.295442356</v>
      </c>
      <c r="AZ211" s="97">
        <f t="shared" si="245"/>
        <v>1.2263110970991642E-2</v>
      </c>
      <c r="BA211" s="97">
        <f t="shared" si="246"/>
        <v>6.2071579130636767E-2</v>
      </c>
      <c r="BB211" s="97">
        <f t="shared" si="190"/>
        <v>7.7115210864765027E-2</v>
      </c>
      <c r="BC211" s="118">
        <v>948.283927436</v>
      </c>
      <c r="BD211" s="118">
        <f t="shared" si="265"/>
        <v>355.32799257999989</v>
      </c>
      <c r="BE211" s="118">
        <f>+'Situfin serie mensual'!HB36</f>
        <v>206.04838341699997</v>
      </c>
      <c r="BF211" s="118">
        <f>+'Situfin serie mensual'!HB41</f>
        <v>166.09026483700001</v>
      </c>
      <c r="BG211" s="118">
        <f t="shared" si="247"/>
        <v>23.887144938269945</v>
      </c>
      <c r="BH211" s="118">
        <f>Datos1[[#This Row],[Intereses]]/Datos1[[#This Row],[PIB nominal (miles de millones de G.)]]*100</f>
        <v>6.942197153521637E-2</v>
      </c>
      <c r="BI211" s="118">
        <f>+'Situfin serie mensual'!HB45</f>
        <v>333.82637938300002</v>
      </c>
      <c r="BJ211" s="118">
        <f>+'Situfin serie mensual'!HB55</f>
        <v>669.81188811800007</v>
      </c>
      <c r="BK211" s="118">
        <f>+'Situfin serie mensual'!HB59</f>
        <v>37.462054514000002</v>
      </c>
      <c r="BL211" s="85">
        <f>+'Situfin serie mensual'!HB71</f>
        <v>-664.55776934599999</v>
      </c>
      <c r="BM211" s="85">
        <f>SUMIFS($BL$3:$BL211,$D$3:$D211,D211)</f>
        <v>-2679.2030398860002</v>
      </c>
      <c r="BN211" s="56">
        <f t="shared" si="229"/>
        <v>-3145.0772253080004</v>
      </c>
      <c r="BO211" s="100">
        <f t="shared" ref="BO211" si="281">IFERROR(BL211/BL199-1,0)</f>
        <v>-4.662747181797922</v>
      </c>
      <c r="BP211" s="100">
        <f t="shared" ref="BP211" si="282">IFERROR(BM211/BM199-1,0)</f>
        <v>-4.4801858585780074</v>
      </c>
      <c r="BQ211" s="100">
        <f t="shared" ref="BQ211" si="283">IFERROR(BN211/BN199-1,0)</f>
        <v>-3.1249669227707666</v>
      </c>
      <c r="BR211" s="118">
        <f t="shared" si="210"/>
        <v>-0.27777010646783801</v>
      </c>
      <c r="BS211" s="118">
        <f>+Datos1[[#This Row],[RON acumulado 12 meses]]/Datos1[[#This Row],[PIB nominal (miles de millones de G.)]]*100</f>
        <v>-1.314571096780804</v>
      </c>
      <c r="BT211" s="85">
        <f>+'Situfin serie mensual'!HB74</f>
        <v>533.10587041300005</v>
      </c>
      <c r="BU211" s="85">
        <f>SUMIFS($BT$3:$BT211,$D$3:$D211,D211)</f>
        <v>2767.3534052002692</v>
      </c>
      <c r="BV211" s="56">
        <f t="shared" si="237"/>
        <v>7950.0314646632687</v>
      </c>
      <c r="BW211" s="100">
        <f t="shared" ref="BW211" si="284">IFERROR(BT211/BT199-1,0)</f>
        <v>0.10858798102083012</v>
      </c>
      <c r="BX211" s="100">
        <f t="shared" ref="BX211" si="285">IFERROR(BU211/BU199-1,0)</f>
        <v>0.56171930923007651</v>
      </c>
      <c r="BY211" s="100">
        <f t="shared" ref="BY211" si="286">IFERROR(BV211/BV199-1,0)</f>
        <v>0.66037186796533764</v>
      </c>
      <c r="BZ211" s="85">
        <f t="shared" si="248"/>
        <v>76.671424460038807</v>
      </c>
      <c r="CA211" s="85">
        <f>Datos1[[#This Row],[Adquisición Neta de Activos no Financieros]]/Datos1[[#This Row],[PIB nominal (miles de millones de G.)]]*100</f>
        <v>0.22282618790083034</v>
      </c>
      <c r="CB211" s="85">
        <f>+Datos1[[#This Row],[ANANF acumulado por año]]/Datos1[[#This Row],[PIB nominal (miles de millones de G.)]]*100</f>
        <v>1.1566910891028914</v>
      </c>
      <c r="CC211" s="85">
        <f>+Datos1[[#This Row],[ANANF acumulado 12 meses]]/Datos1[[#This Row],[PIB nominal (miles de millones de G.)]]*100</f>
        <v>3.3229332169803332</v>
      </c>
      <c r="CD211" s="118">
        <v>452.46399556900002</v>
      </c>
      <c r="CE211" s="118">
        <f t="shared" si="249"/>
        <v>65.073489118175658</v>
      </c>
      <c r="CF211" s="118">
        <f t="shared" si="250"/>
        <v>80.641874844000029</v>
      </c>
      <c r="CG211" s="118">
        <f t="shared" si="251"/>
        <v>11.597935341863156</v>
      </c>
      <c r="CH211" s="85">
        <f t="shared" si="252"/>
        <v>-1197.663639759</v>
      </c>
      <c r="CI211" s="85">
        <f>SUMIFS($CH$3:$CH211,$D$3:$D211,D211)</f>
        <v>-5446.5564450862694</v>
      </c>
      <c r="CJ211" s="85">
        <f t="shared" si="230"/>
        <v>-11095.108689971272</v>
      </c>
      <c r="CK211" s="85">
        <f>Datos1[[#This Row],[Resultado Fiscal (miles de millones de G.)]]*1000/$F$207</f>
        <v>-172.24829509601676</v>
      </c>
      <c r="CL211" s="56">
        <f t="shared" si="238"/>
        <v>-1595.7014075647446</v>
      </c>
      <c r="CM211" s="100">
        <f t="shared" ref="CM211" si="287">IFERROR(CH211/CH199-1,0)</f>
        <v>2.9995404196357076</v>
      </c>
      <c r="CN211" s="100">
        <f t="shared" ref="CN211" si="288">IFERROR(CI211/CI199-1,0)</f>
        <v>4.4348892298900555</v>
      </c>
      <c r="CO211" s="100">
        <f t="shared" ref="CO211" si="289">IFERROR(CJ211/CJ199-1,0)</f>
        <v>2.3539789915376117</v>
      </c>
      <c r="CP211" s="118">
        <f t="shared" si="216"/>
        <v>-0.50059629436866837</v>
      </c>
      <c r="CQ211" s="118">
        <f t="shared" si="231"/>
        <v>-4.6375043137611387</v>
      </c>
      <c r="CR211" s="121">
        <v>1415.7111009539999</v>
      </c>
      <c r="CS211" s="113" t="e">
        <f>SUM(Datos1[[#This Row],[FFPP]:[MTESS]])</f>
        <v>#REF!</v>
      </c>
      <c r="CT211" s="113" t="e">
        <f>+#REF!</f>
        <v>#REF!</v>
      </c>
      <c r="CU211" s="113" t="e">
        <f>+#REF!</f>
        <v>#REF!</v>
      </c>
      <c r="CV211" s="113" t="e">
        <f>+#REF!</f>
        <v>#REF!</v>
      </c>
      <c r="CW211" s="113" t="e">
        <f>+#REF!</f>
        <v>#REF!</v>
      </c>
      <c r="CX211" s="113"/>
      <c r="CY211" s="113"/>
      <c r="CZ211" s="113"/>
    </row>
    <row r="212" spans="1:104" s="122" customFormat="1">
      <c r="A212" s="114">
        <v>210</v>
      </c>
      <c r="B212" s="115">
        <v>43983</v>
      </c>
      <c r="C212" s="116" t="str">
        <f t="shared" si="253"/>
        <v>Junio</v>
      </c>
      <c r="D212" s="116">
        <f t="shared" si="254"/>
        <v>2020</v>
      </c>
      <c r="E212" s="117">
        <f t="shared" si="255"/>
        <v>239247.40419212345</v>
      </c>
      <c r="F212" s="117">
        <f t="shared" si="256"/>
        <v>6953.1233333333348</v>
      </c>
      <c r="G212" s="85">
        <f>+'Situfin serie mensual'!HC2</f>
        <v>2584.3721989320002</v>
      </c>
      <c r="H212" s="118">
        <f t="shared" si="257"/>
        <v>1.080209086346728</v>
      </c>
      <c r="I212" s="119">
        <f>SUMIFS($G$3:$G212,$D$3:$D212,D212)</f>
        <v>14360.041289454</v>
      </c>
      <c r="J212" s="120">
        <f t="shared" si="232"/>
        <v>31497.424489555</v>
      </c>
      <c r="K212" s="95">
        <f t="shared" si="275"/>
        <v>-0.1294482718441673</v>
      </c>
      <c r="L212" s="95">
        <f t="shared" ref="L212" si="290">IFERROR(G212/G200-1,0)</f>
        <v>7.1737911865770831E-2</v>
      </c>
      <c r="M212" s="95">
        <f t="shared" ref="M212" si="291">J212/J200-1</f>
        <v>-5.9789339720911938E-2</v>
      </c>
      <c r="N212" s="118">
        <f>+'Situfin serie mensual'!HC4</f>
        <v>1794.1035551259999</v>
      </c>
      <c r="O212" s="118">
        <f t="shared" si="201"/>
        <v>0.74989467960341027</v>
      </c>
      <c r="P212" s="118">
        <f>SUMIFS($N$3:$N212,$D$3:$D212,D212)</f>
        <v>9665.4002498979989</v>
      </c>
      <c r="Q212" s="120">
        <f t="shared" si="228"/>
        <v>21814.290438584001</v>
      </c>
      <c r="R212" s="97">
        <f t="shared" si="239"/>
        <v>5.8638008744483772E-2</v>
      </c>
      <c r="S212" s="97">
        <f t="shared" si="240"/>
        <v>-0.15426226376587315</v>
      </c>
      <c r="T212" s="97">
        <f t="shared" si="183"/>
        <v>-6.5655866686636366E-2</v>
      </c>
      <c r="U212" s="118">
        <v>1062.1425204130001</v>
      </c>
      <c r="V212" s="120">
        <f t="shared" si="233"/>
        <v>12683.986892845998</v>
      </c>
      <c r="W212" s="97">
        <f t="shared" si="188"/>
        <v>-5.529252106880822E-2</v>
      </c>
      <c r="X212" s="97">
        <f t="shared" si="241"/>
        <v>8.1752541784931854E-3</v>
      </c>
      <c r="Y212" s="118">
        <v>693.4836734480001</v>
      </c>
      <c r="Z212" s="120">
        <f t="shared" si="234"/>
        <v>9095.229458587999</v>
      </c>
      <c r="AA212" s="97">
        <f t="shared" si="189"/>
        <v>-7.8090453329889731E-2</v>
      </c>
      <c r="AB212" s="97">
        <f t="shared" si="242"/>
        <v>4.7836568891541864E-2</v>
      </c>
      <c r="AC212" s="118">
        <f>+'Situfin serie mensual'!HC13</f>
        <v>278.65239932100002</v>
      </c>
      <c r="AD212" s="118">
        <f t="shared" si="202"/>
        <v>0.11647039609977673</v>
      </c>
      <c r="AE212" s="118">
        <f>+'Situfin serie mensual'!HC15</f>
        <v>108.961174433</v>
      </c>
      <c r="AF212" s="118">
        <f t="shared" si="203"/>
        <v>4.5543304764761677E-2</v>
      </c>
      <c r="AG212" s="118">
        <f>+'Situfin serie mensual'!HC25</f>
        <v>402.65507005199999</v>
      </c>
      <c r="AH212" s="118">
        <f t="shared" si="204"/>
        <v>57.909956540202302</v>
      </c>
      <c r="AI212" s="118">
        <v>227.63172115</v>
      </c>
      <c r="AJ212" s="118">
        <f t="shared" si="243"/>
        <v>32.738053136312352</v>
      </c>
      <c r="AK212" s="102">
        <f>SUMIFS($AJ$3:$AJ212,$D$3:$D212,D212)</f>
        <v>209.77175466032764</v>
      </c>
      <c r="AL212" s="118">
        <v>0</v>
      </c>
      <c r="AM212" s="118">
        <f t="shared" si="244"/>
        <v>0</v>
      </c>
      <c r="AN212" s="102">
        <f>SUMIFS($AM$3:$AM212,$D$3:$D212,D212)</f>
        <v>0</v>
      </c>
      <c r="AO212" s="118">
        <f t="shared" si="261"/>
        <v>175.02334890199998</v>
      </c>
      <c r="AP212" s="85">
        <f>+'Situfin serie mensual'!HC34</f>
        <v>2799.1066348439995</v>
      </c>
      <c r="AQ212" s="118">
        <f t="shared" si="207"/>
        <v>1.1699632204143899</v>
      </c>
      <c r="AR212" s="118">
        <f>SUMIFS($AP$3:$AP212,$D$3:$D212,D212)</f>
        <v>17253.978765251999</v>
      </c>
      <c r="AS212" s="120">
        <f t="shared" si="235"/>
        <v>34878.663280531</v>
      </c>
      <c r="AT212" s="97">
        <f t="shared" ref="AT212" si="292">IFERROR(AP212/AP200-1,0)</f>
        <v>0.17119520981894176</v>
      </c>
      <c r="AU212" s="97">
        <f t="shared" ref="AU212" si="293">IFERROR(AR212/AR200-1,0)</f>
        <v>9.8695292735841766E-2</v>
      </c>
      <c r="AV212" s="97">
        <f t="shared" ref="AV212" si="294">IFERROR(AS212/AS200-1,0)</f>
        <v>8.6802831143524273E-2</v>
      </c>
      <c r="AW212" s="118">
        <f>+'Situfin serie mensual'!HC35</f>
        <v>1338.9477476619998</v>
      </c>
      <c r="AX212" s="118">
        <f>SUMIFS($AW$3:$AW212,$D$3:$D212,D212)</f>
        <v>7888.030031194</v>
      </c>
      <c r="AY212" s="120">
        <f t="shared" si="236"/>
        <v>16874.421845937999</v>
      </c>
      <c r="AZ212" s="97">
        <f t="shared" si="245"/>
        <v>4.7017047268049339E-2</v>
      </c>
      <c r="BA212" s="97">
        <f t="shared" si="246"/>
        <v>5.9485727000551325E-2</v>
      </c>
      <c r="BB212" s="97">
        <f t="shared" si="190"/>
        <v>7.4047841670344949E-2</v>
      </c>
      <c r="BC212" s="118">
        <v>950.668935852</v>
      </c>
      <c r="BD212" s="118">
        <f t="shared" si="265"/>
        <v>388.27881180999975</v>
      </c>
      <c r="BE212" s="118">
        <f>+'Situfin serie mensual'!HC36</f>
        <v>289.121567793</v>
      </c>
      <c r="BF212" s="118">
        <f>+'Situfin serie mensual'!HC41</f>
        <v>26.587952999000002</v>
      </c>
      <c r="BG212" s="118">
        <f t="shared" si="247"/>
        <v>3.8238862917240546</v>
      </c>
      <c r="BH212" s="118">
        <f>Datos1[[#This Row],[Intereses]]/Datos1[[#This Row],[PIB nominal (miles de millones de G.)]]*100</f>
        <v>1.1113162581128367E-2</v>
      </c>
      <c r="BI212" s="118">
        <f>+'Situfin serie mensual'!HC45</f>
        <v>317.76314457900003</v>
      </c>
      <c r="BJ212" s="118">
        <f>+'Situfin serie mensual'!HC55</f>
        <v>778.32101483199995</v>
      </c>
      <c r="BK212" s="118">
        <f>+'Situfin serie mensual'!HC59</f>
        <v>48.365206979</v>
      </c>
      <c r="BL212" s="85">
        <f>+'Situfin serie mensual'!HC71</f>
        <v>-214.7344359119993</v>
      </c>
      <c r="BM212" s="85">
        <f>SUMIFS($BL$3:$BL212,$D$3:$D212,D212)</f>
        <v>-2893.9374757979995</v>
      </c>
      <c r="BN212" s="56">
        <f t="shared" si="229"/>
        <v>-3381.2387909759996</v>
      </c>
      <c r="BO212" s="100">
        <f t="shared" ref="BO212" si="295">IFERROR(BL212/BL200-1,0)</f>
        <v>-11.021614577280037</v>
      </c>
      <c r="BP212" s="100">
        <f t="shared" ref="BP212" si="296">IFERROR(BM212/BM200-1,0)</f>
        <v>-4.6573234947620179</v>
      </c>
      <c r="BQ212" s="100">
        <f t="shared" ref="BQ212" si="297">IFERROR(BN212/BN200-1,0)</f>
        <v>-3.4023305785216569</v>
      </c>
      <c r="BR212" s="118">
        <f t="shared" si="210"/>
        <v>-8.9754134067661834E-2</v>
      </c>
      <c r="BS212" s="118">
        <f>+Datos1[[#This Row],[RON acumulado 12 meses]]/Datos1[[#This Row],[PIB nominal (miles de millones de G.)]]*100</f>
        <v>-1.4132812861203521</v>
      </c>
      <c r="BT212" s="85">
        <f>+'Situfin serie mensual'!HC74</f>
        <v>634.01283350099993</v>
      </c>
      <c r="BU212" s="85">
        <f>SUMIFS($BT$3:$BT212,$D$3:$D212,D212)</f>
        <v>3401.3662387012691</v>
      </c>
      <c r="BV212" s="56">
        <f t="shared" si="237"/>
        <v>8128.5150470992685</v>
      </c>
      <c r="BW212" s="100">
        <f t="shared" ref="BW212" si="298">IFERROR(BT212/BT200-1,0)</f>
        <v>0.39181585379800743</v>
      </c>
      <c r="BX212" s="100">
        <f t="shared" ref="BX212" si="299">IFERROR(BU212/BU200-1,0)</f>
        <v>0.5269739573187262</v>
      </c>
      <c r="BY212" s="100">
        <f t="shared" ref="BY212" si="300">IFERROR(BV212/BV200-1,0)</f>
        <v>0.66838882198871863</v>
      </c>
      <c r="BZ212" s="85">
        <f t="shared" si="248"/>
        <v>91.183890045720432</v>
      </c>
      <c r="CA212" s="85">
        <f>Datos1[[#This Row],[Adquisición Neta de Activos no Financieros]]/Datos1[[#This Row],[PIB nominal (miles de millones de G.)]]*100</f>
        <v>0.26500301461656278</v>
      </c>
      <c r="CB212" s="85">
        <f>+Datos1[[#This Row],[ANANF acumulado por año]]/Datos1[[#This Row],[PIB nominal (miles de millones de G.)]]*100</f>
        <v>1.4216941037194541</v>
      </c>
      <c r="CC212" s="85">
        <f>+Datos1[[#This Row],[ANANF acumulado 12 meses]]/Datos1[[#This Row],[PIB nominal (miles de millones de G.)]]*100</f>
        <v>3.3975353147705651</v>
      </c>
      <c r="CD212" s="118">
        <v>555.21449241599998</v>
      </c>
      <c r="CE212" s="118">
        <f t="shared" si="249"/>
        <v>79.851092206907481</v>
      </c>
      <c r="CF212" s="118">
        <f t="shared" si="250"/>
        <v>78.798341084999947</v>
      </c>
      <c r="CG212" s="118">
        <f t="shared" si="251"/>
        <v>11.332797838812956</v>
      </c>
      <c r="CH212" s="85">
        <f t="shared" si="252"/>
        <v>-848.74726941299923</v>
      </c>
      <c r="CI212" s="85">
        <f>SUMIFS($CH$3:$CH212,$D$3:$D212,D212)</f>
        <v>-6295.3037144992686</v>
      </c>
      <c r="CJ212" s="85">
        <f t="shared" si="230"/>
        <v>-11509.753838075269</v>
      </c>
      <c r="CK212" s="85">
        <f>Datos1[[#This Row],[Resultado Fiscal (miles de millones de G.)]]*1000/$F$207</f>
        <v>-122.06705227621914</v>
      </c>
      <c r="CL212" s="56">
        <f t="shared" si="238"/>
        <v>-1655.3357802381281</v>
      </c>
      <c r="CM212" s="100">
        <f t="shared" ref="CM212" si="301">IFERROR(CH212/CH200-1,0)</f>
        <v>0.95517881104489843</v>
      </c>
      <c r="CN212" s="100">
        <f t="shared" ref="CN212" si="302">IFERROR(CI212/CI200-1,0)</f>
        <v>3.3831566713311583</v>
      </c>
      <c r="CO212" s="100">
        <f t="shared" ref="CO212" si="303">IFERROR(CJ212/CJ200-1,0)</f>
        <v>2.3221094342657675</v>
      </c>
      <c r="CP212" s="118">
        <f t="shared" si="216"/>
        <v>-0.35475714868422464</v>
      </c>
      <c r="CQ212" s="118">
        <f t="shared" si="231"/>
        <v>-4.8108166008909183</v>
      </c>
      <c r="CR212" s="121">
        <v>1434.514382648</v>
      </c>
      <c r="CS212" s="113" t="e">
        <f>SUM(Datos1[[#This Row],[FFPP]:[MTESS]])</f>
        <v>#REF!</v>
      </c>
      <c r="CT212" s="113" t="e">
        <f>+#REF!</f>
        <v>#REF!</v>
      </c>
      <c r="CU212" s="113" t="e">
        <f>+#REF!</f>
        <v>#REF!</v>
      </c>
      <c r="CV212" s="113" t="e">
        <f>+#REF!</f>
        <v>#REF!</v>
      </c>
      <c r="CW212" s="113" t="e">
        <f>+#REF!</f>
        <v>#REF!</v>
      </c>
      <c r="CX212" s="113"/>
      <c r="CY212" s="113"/>
      <c r="CZ212" s="113"/>
    </row>
    <row r="213" spans="1:104">
      <c r="A213" s="114">
        <v>211</v>
      </c>
      <c r="B213" s="115">
        <v>44013</v>
      </c>
      <c r="C213" s="116" t="str">
        <f t="shared" si="253"/>
        <v>Julio</v>
      </c>
      <c r="D213" s="116">
        <f t="shared" si="254"/>
        <v>2020</v>
      </c>
      <c r="E213" s="117">
        <f t="shared" si="255"/>
        <v>239247.40419212345</v>
      </c>
      <c r="F213" s="117">
        <f t="shared" si="256"/>
        <v>6953.1233333333348</v>
      </c>
      <c r="G213" s="85">
        <f>+'Situfin serie mensual'!HD2</f>
        <v>2819.5321466220003</v>
      </c>
      <c r="H213" s="118">
        <f t="shared" si="257"/>
        <v>1.1785006220413679</v>
      </c>
      <c r="I213" s="119">
        <f>SUMIFS($G$3:$G213,$D$3:$D213,D213)</f>
        <v>17179.573436076</v>
      </c>
      <c r="J213" s="120">
        <f t="shared" si="232"/>
        <v>31235.045454458999</v>
      </c>
      <c r="K213" s="95">
        <f t="shared" ref="K213" si="304">IFERROR(I213/I201-1,0)</f>
        <v>-0.12247236476755685</v>
      </c>
      <c r="L213" s="95">
        <f t="shared" ref="L213" si="305">IFERROR(G213/G201-1,0)</f>
        <v>-8.5135170881121214E-2</v>
      </c>
      <c r="M213" s="95">
        <f t="shared" ref="M213" si="306">J213/J201-1</f>
        <v>-7.0642784157341376E-2</v>
      </c>
      <c r="N213" s="118">
        <f>+'Situfin serie mensual'!HD4</f>
        <v>2124.0135847320003</v>
      </c>
      <c r="O213" s="118">
        <f t="shared" si="201"/>
        <v>0.88778960503427162</v>
      </c>
      <c r="P213" s="118">
        <f>SUMIFS($N$3:$N213,$D$3:$D213,D213)</f>
        <v>11789.413834629999</v>
      </c>
      <c r="Q213" s="120">
        <f t="shared" si="228"/>
        <v>21651.336221049001</v>
      </c>
      <c r="R213" s="97">
        <f t="shared" ref="R213" si="307">IFERROR(N213/N201-1,0)</f>
        <v>-7.1253393849038171E-2</v>
      </c>
      <c r="S213" s="97">
        <f t="shared" ref="S213" si="308">IFERROR(P213/P201-1,0)</f>
        <v>-0.14042092254682736</v>
      </c>
      <c r="T213" s="97">
        <f t="shared" ref="T213" si="309">IFERROR(Q213/Q201-1,0)</f>
        <v>-7.5887964016627119E-2</v>
      </c>
      <c r="U213" s="118">
        <v>1394.648034762</v>
      </c>
      <c r="V213" s="120">
        <f t="shared" si="233"/>
        <v>12655.168304622001</v>
      </c>
      <c r="W213" s="97">
        <f t="shared" ref="W213" si="310">V213/V201-1</f>
        <v>-5.812006774771683E-2</v>
      </c>
      <c r="X213" s="97">
        <f t="shared" ref="X213" si="311">IFERROR(U213/U201-1,0)</f>
        <v>-2.0245355780487029E-2</v>
      </c>
      <c r="Y213" s="118">
        <v>756.78703850229977</v>
      </c>
      <c r="Z213" s="120">
        <f t="shared" si="234"/>
        <v>8993.4363460443019</v>
      </c>
      <c r="AA213" s="97">
        <f t="shared" ref="AA213" si="312">Z213/Z201-1</f>
        <v>-9.2717006548907022E-2</v>
      </c>
      <c r="AB213" s="97">
        <f t="shared" ref="AB213" si="313">IFERROR(Y213/Y201-1,0)</f>
        <v>-0.11855982510157803</v>
      </c>
      <c r="AC213" s="118">
        <f>+'Situfin serie mensual'!HD13</f>
        <v>172.59751948600001</v>
      </c>
      <c r="AD213" s="118">
        <f>AC213/E213*100</f>
        <v>7.2141856698013984E-2</v>
      </c>
      <c r="AE213" s="118">
        <f>+'Situfin serie mensual'!HD15</f>
        <v>79.057577239000011</v>
      </c>
      <c r="AF213" s="118">
        <f>AE213/E213*100</f>
        <v>3.3044277954010402E-2</v>
      </c>
      <c r="AG213" s="118">
        <f>+'Situfin serie mensual'!HD25</f>
        <v>443.86346516499998</v>
      </c>
      <c r="AH213" s="118">
        <f>AG213*1000/F213</f>
        <v>63.836558606276206</v>
      </c>
      <c r="AI213" s="118">
        <v>252.56435982599999</v>
      </c>
      <c r="AJ213" s="118">
        <f t="shared" si="243"/>
        <v>36.32387169305688</v>
      </c>
      <c r="AK213" s="102">
        <f>SUMIFS($AJ$3:$AJ213,$D$3:$D213,D213)</f>
        <v>246.09562635338452</v>
      </c>
      <c r="AL213" s="118">
        <v>0</v>
      </c>
      <c r="AM213" s="118">
        <f t="shared" si="244"/>
        <v>0</v>
      </c>
      <c r="AN213" s="102">
        <f>SUMIFS($AM$3:$AM213,$D$3:$D213,D213)</f>
        <v>0</v>
      </c>
      <c r="AO213" s="118">
        <f t="shared" si="261"/>
        <v>191.29910533899999</v>
      </c>
      <c r="AP213" s="85">
        <f>+'Situfin serie mensual'!HD34</f>
        <v>3101.2859436559997</v>
      </c>
      <c r="AQ213" s="118">
        <f>+AP213/E213*100</f>
        <v>1.2962673321903908</v>
      </c>
      <c r="AR213" s="118">
        <f>SUMIFS($AP$3:$AP213,$D$3:$D213,D213)</f>
        <v>20355.264708907998</v>
      </c>
      <c r="AS213" s="120">
        <f t="shared" si="235"/>
        <v>35307.628592549008</v>
      </c>
      <c r="AT213" s="97">
        <f t="shared" ref="AT213" si="314">IFERROR(AP213/AP201-1,0)</f>
        <v>0.1605216480909577</v>
      </c>
      <c r="AU213" s="97">
        <f t="shared" ref="AU213" si="315">IFERROR(AR213/AR201-1,0)</f>
        <v>0.10768617250780355</v>
      </c>
      <c r="AV213" s="97">
        <f t="shared" ref="AV213" si="316">IFERROR(AS213/AS201-1,0)</f>
        <v>9.2159608960009853E-2</v>
      </c>
      <c r="AW213" s="118">
        <f>+'Situfin serie mensual'!HD35</f>
        <v>1465.7746304910002</v>
      </c>
      <c r="AX213" s="118">
        <f>SUMIFS($AW$3:$AW213,$D$3:$D213,D213)</f>
        <v>9353.8046616850006</v>
      </c>
      <c r="AY213" s="120">
        <f t="shared" si="236"/>
        <v>17056.439327821001</v>
      </c>
      <c r="AZ213" s="97">
        <f t="shared" ref="AZ213" si="317">IFERROR(AW213/AW201-1,0)</f>
        <v>0.1417849801890998</v>
      </c>
      <c r="BA213" s="97">
        <f t="shared" ref="BA213" si="318">IFERROR(AX213/AX201-1,0)</f>
        <v>7.1589447922656202E-2</v>
      </c>
      <c r="BB213" s="97">
        <f t="shared" ref="BB213" si="319">IFERROR(AY213/AY201-1,0)</f>
        <v>7.9119853135972251E-2</v>
      </c>
      <c r="BC213" s="118">
        <v>951.1774195270001</v>
      </c>
      <c r="BD213" s="118">
        <f t="shared" si="265"/>
        <v>514.59721096400006</v>
      </c>
      <c r="BE213" s="118">
        <f>+'Situfin serie mensual'!HD36</f>
        <v>262.99611073599999</v>
      </c>
      <c r="BF213" s="118">
        <f>+'Situfin serie mensual'!HD41</f>
        <v>138.21269477999999</v>
      </c>
      <c r="BG213" s="118">
        <f t="shared" si="247"/>
        <v>19.87778558700478</v>
      </c>
      <c r="BH213" s="118">
        <f>Datos1[[#This Row],[Intereses]]/Datos1[[#This Row],[PIB nominal (miles de millones de G.)]]*100</f>
        <v>5.7769778212101601E-2</v>
      </c>
      <c r="BI213" s="118">
        <f>+'Situfin serie mensual'!HD45</f>
        <v>402.602040354</v>
      </c>
      <c r="BJ213" s="118">
        <f>+'Situfin serie mensual'!HD55</f>
        <v>454.23279160800007</v>
      </c>
      <c r="BK213" s="118">
        <f>+'Situfin serie mensual'!HD59</f>
        <v>377.46767568700005</v>
      </c>
      <c r="BL213" s="85">
        <f>+'Situfin serie mensual'!HD71</f>
        <v>-281.75379703399949</v>
      </c>
      <c r="BM213" s="85">
        <f>SUMIFS($BL$3:$BL213,$D$3:$D213,D213)</f>
        <v>-3175.691272831999</v>
      </c>
      <c r="BN213" s="56">
        <f t="shared" si="229"/>
        <v>-4072.5831380900004</v>
      </c>
      <c r="BO213" s="100">
        <f t="shared" ref="BO213" si="320">IFERROR(BL213/BL201-1,0)</f>
        <v>-1.6878913514458946</v>
      </c>
      <c r="BP213" s="100">
        <f t="shared" ref="BP213" si="321">IFERROR(BM213/BM201-1,0)</f>
        <v>-3.644508663903347</v>
      </c>
      <c r="BQ213" s="100">
        <f t="shared" ref="BQ213" si="322">IFERROR(BN213/BN201-1,0)</f>
        <v>-4.179142572073788</v>
      </c>
      <c r="BR213" s="118">
        <f>BL213/E213*100</f>
        <v>-0.117766710149023</v>
      </c>
      <c r="BS213" s="118">
        <f>+Datos1[[#This Row],[RON acumulado 12 meses]]/Datos1[[#This Row],[PIB nominal (miles de millones de G.)]]*100</f>
        <v>-1.702247575827232</v>
      </c>
      <c r="BT213" s="85">
        <f>+'Situfin serie mensual'!HD74</f>
        <v>715.00596093059812</v>
      </c>
      <c r="BU213" s="85">
        <f>SUMIFS($BT$3:$BT213,$D$3:$D213,D213)</f>
        <v>4116.3721996318673</v>
      </c>
      <c r="BV213" s="56">
        <f t="shared" si="237"/>
        <v>8324.7889772098679</v>
      </c>
      <c r="BW213" s="100">
        <f t="shared" ref="BW213" si="323">IFERROR(BT213/BT201-1,0)</f>
        <v>0.37837248993537709</v>
      </c>
      <c r="BX213" s="100">
        <f t="shared" ref="BX213" si="324">IFERROR(BU213/BU201-1,0)</f>
        <v>0.49890504089583643</v>
      </c>
      <c r="BY213" s="100">
        <f t="shared" ref="BY213" si="325">IFERROR(BV213/BV201-1,0)</f>
        <v>0.69593183094730282</v>
      </c>
      <c r="BZ213" s="85">
        <f t="shared" si="248"/>
        <v>102.83234262548648</v>
      </c>
      <c r="CA213" s="85">
        <f>Datos1[[#This Row],[Adquisición Neta de Activos no Financieros]]/Datos1[[#This Row],[PIB nominal (miles de millones de G.)]]*100</f>
        <v>0.29885630874240338</v>
      </c>
      <c r="CB213" s="85">
        <f>+Datos1[[#This Row],[ANANF acumulado por año]]/Datos1[[#This Row],[PIB nominal (miles de millones de G.)]]*100</f>
        <v>1.7205504124618576</v>
      </c>
      <c r="CC213" s="85">
        <f>+Datos1[[#This Row],[ANANF acumulado 12 meses]]/Datos1[[#This Row],[PIB nominal (miles de millones de G.)]]*100</f>
        <v>3.4795733752349478</v>
      </c>
      <c r="CD213" s="118">
        <v>588.80842519059797</v>
      </c>
      <c r="CE213" s="118">
        <f t="shared" si="249"/>
        <v>84.682580325858055</v>
      </c>
      <c r="CF213" s="118">
        <f t="shared" si="250"/>
        <v>126.19753574000015</v>
      </c>
      <c r="CG213" s="118">
        <f t="shared" si="251"/>
        <v>18.149762299628435</v>
      </c>
      <c r="CH213" s="85">
        <f t="shared" si="252"/>
        <v>-996.75975796459761</v>
      </c>
      <c r="CI213" s="85">
        <f>SUMIFS($CH$3:$CH213,$D$3:$D213,D213)</f>
        <v>-7292.0634724638658</v>
      </c>
      <c r="CJ213" s="85">
        <f t="shared" si="230"/>
        <v>-12397.37211529987</v>
      </c>
      <c r="CK213" s="85">
        <f>Datos1[[#This Row],[Resultado Fiscal (miles de millones de G.)]]*1000/$F$207</f>
        <v>-143.3542467434919</v>
      </c>
      <c r="CL213" s="56">
        <f t="shared" si="238"/>
        <v>-1782.9932709328996</v>
      </c>
      <c r="CM213" s="100">
        <f t="shared" ref="CM213" si="326">IFERROR(CH213/CH201-1,0)</f>
        <v>8.1327307565042108</v>
      </c>
      <c r="CN213" s="100">
        <f t="shared" ref="CN213" si="327">IFERROR(CI213/CI201-1,0)</f>
        <v>3.7185900821048827</v>
      </c>
      <c r="CO213" s="100">
        <f t="shared" ref="CO213" si="328">IFERROR(CJ213/CJ201-1,0)</f>
        <v>2.4174669646219997</v>
      </c>
      <c r="CP213" s="118">
        <f>+CH213/E213*100</f>
        <v>-0.41662301889142633</v>
      </c>
      <c r="CQ213" s="118">
        <f>+CJ213/E213*100</f>
        <v>-5.1818209510621802</v>
      </c>
      <c r="CR213" s="121">
        <v>1469.770080948</v>
      </c>
      <c r="CS213" s="206" t="e">
        <f>SUM(Datos1[[#This Row],[FFPP]:[MTESS]])</f>
        <v>#REF!</v>
      </c>
      <c r="CT213" s="113">
        <v>0</v>
      </c>
      <c r="CU213" s="113">
        <v>0</v>
      </c>
      <c r="CV213" s="113">
        <v>0</v>
      </c>
      <c r="CW213" s="113" t="e">
        <f>+#REF!</f>
        <v>#REF!</v>
      </c>
      <c r="CX213" s="113" t="e">
        <f>+#REF!</f>
        <v>#REF!</v>
      </c>
      <c r="CY213" s="113" t="e">
        <f>+#REF!</f>
        <v>#REF!</v>
      </c>
      <c r="CZ213" s="113" t="e">
        <f>+#REF!</f>
        <v>#REF!</v>
      </c>
    </row>
    <row r="214" spans="1:104">
      <c r="A214" s="114">
        <v>212</v>
      </c>
      <c r="B214" s="115">
        <v>44044</v>
      </c>
      <c r="C214" s="116" t="str">
        <f t="shared" si="253"/>
        <v>Agosto</v>
      </c>
      <c r="D214" s="116">
        <f t="shared" si="254"/>
        <v>2020</v>
      </c>
      <c r="E214" s="117">
        <f t="shared" si="255"/>
        <v>239247.40419212345</v>
      </c>
      <c r="F214" s="117">
        <f t="shared" si="256"/>
        <v>6953.1233333333348</v>
      </c>
      <c r="G214" s="85">
        <f>+'Situfin serie mensual'!HE2</f>
        <v>2896.0443505349999</v>
      </c>
      <c r="H214" s="118">
        <f t="shared" si="257"/>
        <v>1.2104809915552448</v>
      </c>
      <c r="I214" s="119">
        <f>SUMIFS($G$3:$G214,$D$3:$D214,D214)</f>
        <v>20075.617786611001</v>
      </c>
      <c r="J214" s="120">
        <f t="shared" si="232"/>
        <v>31627.597536851001</v>
      </c>
      <c r="K214" s="95">
        <f t="shared" ref="K214" si="329">IFERROR(I214/I202-1,0)</f>
        <v>-9.0808535122855583E-2</v>
      </c>
      <c r="L214" s="95">
        <f t="shared" ref="L214" si="330">IFERROR(G214/G202-1,0)</f>
        <v>0.15680179539087646</v>
      </c>
      <c r="M214" s="95">
        <f t="shared" ref="M214" si="331">J214/J202-1</f>
        <v>-5.8368338244745632E-2</v>
      </c>
      <c r="N214" s="118">
        <f>+'Situfin serie mensual'!HE4</f>
        <v>1917.4523367229999</v>
      </c>
      <c r="O214" s="118">
        <f>N214/E214*100</f>
        <v>0.80145167852405352</v>
      </c>
      <c r="P214" s="118">
        <f>SUMIFS($N$3:$N214,$D$3:$D214,D214)</f>
        <v>13706.866171352998</v>
      </c>
      <c r="Q214" s="120">
        <f t="shared" si="228"/>
        <v>21759.804203527001</v>
      </c>
      <c r="R214" s="97">
        <f t="shared" ref="R214" si="332">IFERROR(N214/N202-1,0)</f>
        <v>5.9960707909643585E-2</v>
      </c>
      <c r="S214" s="97">
        <f t="shared" ref="S214" si="333">IFERROR(P214/P202-1,0)</f>
        <v>-0.11707128267350331</v>
      </c>
      <c r="T214" s="97">
        <f t="shared" ref="T214" si="334">IFERROR(Q214/Q202-1,0)</f>
        <v>-6.8341878104498432E-2</v>
      </c>
      <c r="U214" s="118">
        <v>1093.6898610340002</v>
      </c>
      <c r="V214" s="120">
        <f t="shared" si="233"/>
        <v>12828.121977860998</v>
      </c>
      <c r="W214" s="97">
        <f t="shared" ref="W214" si="335">V214/V202-1</f>
        <v>-4.8994519078239041E-2</v>
      </c>
      <c r="X214" s="97">
        <f t="shared" ref="X214" si="336">IFERROR(U214/U202-1,0)</f>
        <v>0.1878428104940606</v>
      </c>
      <c r="Y214" s="118">
        <v>816.59074666599997</v>
      </c>
      <c r="Z214" s="120">
        <f t="shared" si="234"/>
        <v>8968.8083065742994</v>
      </c>
      <c r="AA214" s="97">
        <f t="shared" ref="AA214" si="337">Z214/Z202-1</f>
        <v>-8.4182175116943814E-2</v>
      </c>
      <c r="AB214" s="97">
        <f t="shared" ref="AB214" si="338">IFERROR(Y214/Y202-1,0)</f>
        <v>-2.9276616114488951E-2</v>
      </c>
      <c r="AC214" s="118">
        <f>+'Situfin serie mensual'!HE13</f>
        <v>184.74180488099998</v>
      </c>
      <c r="AD214" s="118">
        <f>AC214/E214*100</f>
        <v>7.7217893128172163E-2</v>
      </c>
      <c r="AE214" s="118">
        <f>+'Situfin serie mensual'!HE15</f>
        <v>88.219147158000013</v>
      </c>
      <c r="AF214" s="118">
        <f>AE214/E214*100</f>
        <v>3.6873606823820404E-2</v>
      </c>
      <c r="AG214" s="118">
        <f>+'Situfin serie mensual'!HE25</f>
        <v>705.63106177300006</v>
      </c>
      <c r="AH214" s="118">
        <f>AG214*1000/F214</f>
        <v>101.48404219873369</v>
      </c>
      <c r="AI214" s="118">
        <v>245.13974003199999</v>
      </c>
      <c r="AJ214" s="118">
        <f>AI214*1000/$F$207</f>
        <v>35.256060949875277</v>
      </c>
      <c r="AK214" s="102">
        <f>SUMIFS($AJ$3:$AJ214,$D$3:$D214,D214)</f>
        <v>281.35168730325978</v>
      </c>
      <c r="AL214" s="118">
        <v>319.23356000000001</v>
      </c>
      <c r="AM214" s="118">
        <f>AL214*1000/$F$207</f>
        <v>45.912253342262964</v>
      </c>
      <c r="AN214" s="102">
        <f>SUMIFS($AM$3:$AM214,$D$3:$D214,D214)</f>
        <v>45.912253342262964</v>
      </c>
      <c r="AO214" s="118">
        <f t="shared" si="261"/>
        <v>141.25776174100008</v>
      </c>
      <c r="AP214" s="85">
        <f>+'Situfin serie mensual'!HE34</f>
        <v>3171.1031797069995</v>
      </c>
      <c r="AQ214" s="118">
        <f>+AP214/E214*100</f>
        <v>1.3254493566670009</v>
      </c>
      <c r="AR214" s="118">
        <f>SUMIFS($AP$3:$AP214,$D$3:$D214,D214)</f>
        <v>23526.367888614997</v>
      </c>
      <c r="AS214" s="120">
        <f t="shared" si="235"/>
        <v>35718.436146169006</v>
      </c>
      <c r="AT214" s="97">
        <f t="shared" ref="AT214" si="339">IFERROR(AP214/AP202-1,0)</f>
        <v>0.14882737549468938</v>
      </c>
      <c r="AU214" s="97">
        <f t="shared" ref="AU214" si="340">IFERROR(AR214/AR202-1,0)</f>
        <v>0.11305891284105196</v>
      </c>
      <c r="AV214" s="97">
        <f t="shared" ref="AV214" si="341">IFERROR(AS214/AS202-1,0)</f>
        <v>9.2965821120799763E-2</v>
      </c>
      <c r="AW214" s="118">
        <f>+'Situfin serie mensual'!HE35</f>
        <v>1359.5473150699995</v>
      </c>
      <c r="AX214" s="118">
        <f>SUMIFS($AW$3:$AW214,$D$3:$D214,D214)</f>
        <v>10713.351976755001</v>
      </c>
      <c r="AY214" s="120">
        <f t="shared" si="236"/>
        <v>17132.194929777997</v>
      </c>
      <c r="AZ214" s="97">
        <f t="shared" ref="AZ214" si="342">IFERROR(AW214/AW202-1,0)</f>
        <v>5.9009262315070421E-2</v>
      </c>
      <c r="BA214" s="97">
        <f t="shared" ref="BA214" si="343">IFERROR(AX214/AX202-1,0)</f>
        <v>6.997646240774591E-2</v>
      </c>
      <c r="BB214" s="97">
        <f t="shared" ref="BB214" si="344">IFERROR(AY214/AY202-1,0)</f>
        <v>7.5951809039310314E-2</v>
      </c>
      <c r="BC214" s="118">
        <v>949.36250370300002</v>
      </c>
      <c r="BD214" s="118">
        <f t="shared" si="265"/>
        <v>410.1848113669995</v>
      </c>
      <c r="BE214" s="118">
        <f>+'Situfin serie mensual'!HE36</f>
        <v>240.38513293000003</v>
      </c>
      <c r="BF214" s="118">
        <f>+'Situfin serie mensual'!HE41</f>
        <v>234.53197959199997</v>
      </c>
      <c r="BG214" s="118">
        <f>+BF214/$F$207*1000</f>
        <v>33.730450093938586</v>
      </c>
      <c r="BH214" s="118">
        <f>Datos1[[#This Row],[Intereses]]/Datos1[[#This Row],[PIB nominal (miles de millones de G.)]]*100</f>
        <v>9.8029059242650415E-2</v>
      </c>
      <c r="BI214" s="118">
        <f>+'Situfin serie mensual'!HE45</f>
        <v>377.13296719700008</v>
      </c>
      <c r="BJ214" s="118">
        <f>+'Situfin serie mensual'!HE55</f>
        <v>876.81813617000012</v>
      </c>
      <c r="BK214" s="118">
        <f>+'Situfin serie mensual'!HE59</f>
        <v>82.687648748000001</v>
      </c>
      <c r="BL214" s="85">
        <f>+'Situfin serie mensual'!HE71</f>
        <v>-275.05882917199961</v>
      </c>
      <c r="BM214" s="85">
        <f>SUMIFS($BL$3:$BL214,$D$3:$D214,D214)</f>
        <v>-3450.7501020039986</v>
      </c>
      <c r="BN214" s="56">
        <f t="shared" si="229"/>
        <v>-4090.8386093179988</v>
      </c>
      <c r="BO214" s="100">
        <f t="shared" ref="BO214" si="345">IFERROR(BL214/BL202-1,0)</f>
        <v>7.1087354052353335E-2</v>
      </c>
      <c r="BP214" s="100">
        <f t="shared" ref="BP214" si="346">IFERROR(BM214/BM202-1,0)</f>
        <v>-4.6552266332270804</v>
      </c>
      <c r="BQ214" s="100">
        <f t="shared" ref="BQ214" si="347">IFERROR(BN214/BN202-1,0)</f>
        <v>-5.506364409959458</v>
      </c>
      <c r="BR214" s="118">
        <f>BL214/E214*100</f>
        <v>-0.1149683651117562</v>
      </c>
      <c r="BS214" s="118">
        <f>+Datos1[[#This Row],[RON acumulado 12 meses]]/Datos1[[#This Row],[PIB nominal (miles de millones de G.)]]*100</f>
        <v>-1.7098779496194334</v>
      </c>
      <c r="BT214" s="85">
        <f>+'Situfin serie mensual'!HE74</f>
        <v>474.89873150799997</v>
      </c>
      <c r="BU214" s="85">
        <f>SUMIFS($BT$3:$BT214,$D$3:$D214,D214)</f>
        <v>4591.2709311398676</v>
      </c>
      <c r="BV214" s="56">
        <f t="shared" si="237"/>
        <v>8040.3246019988674</v>
      </c>
      <c r="BW214" s="100">
        <f t="shared" ref="BW214" si="348">IFERROR(BT214/BT202-1,0)</f>
        <v>-0.37460915956279828</v>
      </c>
      <c r="BX214" s="100">
        <f t="shared" ref="BX214" si="349">IFERROR(BU214/BU202-1,0)</f>
        <v>0.30969022947204916</v>
      </c>
      <c r="BY214" s="100">
        <f t="shared" ref="BY214" si="350">IFERROR(BV214/BV202-1,0)</f>
        <v>0.50207019712268197</v>
      </c>
      <c r="BZ214" s="85">
        <f>BT214*1000/$F$207</f>
        <v>68.300058655846257</v>
      </c>
      <c r="CA214" s="85">
        <f>Datos1[[#This Row],[Adquisición Neta de Activos no Financieros]]/Datos1[[#This Row],[PIB nominal (miles de millones de G.)]]*100</f>
        <v>0.19849692125672591</v>
      </c>
      <c r="CB214" s="85">
        <f>+Datos1[[#This Row],[ANANF acumulado por año]]/Datos1[[#This Row],[PIB nominal (miles de millones de G.)]]*100</f>
        <v>1.9190473337185834</v>
      </c>
      <c r="CC214" s="85">
        <f>+Datos1[[#This Row],[ANANF acumulado 12 meses]]/Datos1[[#This Row],[PIB nominal (miles de millones de G.)]]*100</f>
        <v>3.3606737047572</v>
      </c>
      <c r="CD214" s="118">
        <v>346.397340316</v>
      </c>
      <c r="CE214" s="118">
        <f>CD214*1000/$F$207</f>
        <v>49.818955267968292</v>
      </c>
      <c r="CF214" s="118">
        <f>+BT214-CD214</f>
        <v>128.50139119199997</v>
      </c>
      <c r="CG214" s="118">
        <f>CF214*1000/$F$207</f>
        <v>18.481103387877958</v>
      </c>
      <c r="CH214" s="85">
        <f>+BL214-BT214</f>
        <v>-749.95756067999957</v>
      </c>
      <c r="CI214" s="85">
        <f>SUMIFS($CH$3:$CH214,$D$3:$D214,D214)</f>
        <v>-8042.0210331438657</v>
      </c>
      <c r="CJ214" s="85">
        <f t="shared" si="230"/>
        <v>-12131.163211316867</v>
      </c>
      <c r="CK214" s="85">
        <f>Datos1[[#This Row],[Resultado Fiscal (miles de millones de G.)]]*1000/$F$207</f>
        <v>-107.85909076065087</v>
      </c>
      <c r="CL214" s="56">
        <f t="shared" si="238"/>
        <v>-1744.7070373626138</v>
      </c>
      <c r="CM214" s="100">
        <f t="shared" ref="CM214" si="351">IFERROR(CH214/CH202-1,0)</f>
        <v>-0.26197371517400603</v>
      </c>
      <c r="CN214" s="100">
        <f t="shared" ref="CN214" si="352">IFERROR(CI214/CI202-1,0)</f>
        <v>2.139505264007413</v>
      </c>
      <c r="CO214" s="100">
        <f t="shared" ref="CO214" si="353">IFERROR(CJ214/CJ202-1,0)</f>
        <v>1.729147583211752</v>
      </c>
      <c r="CP214" s="118">
        <f>+CH214/E214*100</f>
        <v>-0.31346528636848209</v>
      </c>
      <c r="CQ214" s="118">
        <f>+CJ214/E214*100</f>
        <v>-5.0705516543766338</v>
      </c>
      <c r="CR214" s="121">
        <v>1470.9297078059999</v>
      </c>
      <c r="CS214" s="206">
        <f>SUM(Datos1[[#This Row],[FFPP]:[MTESS]])</f>
        <v>0</v>
      </c>
      <c r="CT214" s="113"/>
      <c r="CU214" s="113"/>
      <c r="CV214" s="113"/>
      <c r="CW214" s="113"/>
      <c r="CX214" s="113"/>
      <c r="CY214" s="113"/>
      <c r="CZ214" s="113"/>
    </row>
    <row r="215" spans="1:104">
      <c r="V215" s="90"/>
      <c r="Y215" s="90"/>
    </row>
    <row r="216" spans="1:104">
      <c r="V216" s="90"/>
    </row>
    <row r="217" spans="1:104">
      <c r="U217" s="241"/>
      <c r="Y217" s="241"/>
    </row>
    <row r="218" spans="1:104">
      <c r="U218" s="241"/>
      <c r="Y218" s="241"/>
      <c r="BC218" s="90"/>
      <c r="CD218" s="90"/>
    </row>
    <row r="219" spans="1:104">
      <c r="U219" s="241"/>
      <c r="Y219" s="241"/>
      <c r="BC219" s="90"/>
      <c r="CD219" s="90"/>
      <c r="CF219" s="90"/>
    </row>
    <row r="220" spans="1:104">
      <c r="U220" s="241"/>
      <c r="Y220" s="241"/>
      <c r="BC220" s="90"/>
      <c r="CD220" s="90"/>
      <c r="CF220" s="90"/>
    </row>
    <row r="221" spans="1:104">
      <c r="U221" s="241"/>
      <c r="Y221" s="241"/>
      <c r="BC221" s="90"/>
      <c r="CD221" s="90"/>
      <c r="CF221" s="90"/>
    </row>
    <row r="222" spans="1:104">
      <c r="U222" s="241"/>
      <c r="Y222" s="241"/>
      <c r="BC222" s="90"/>
      <c r="CD222" s="90"/>
      <c r="CF222" s="90"/>
    </row>
    <row r="223" spans="1:104">
      <c r="U223" s="241"/>
      <c r="Y223" s="241"/>
      <c r="BC223" s="90"/>
      <c r="CD223" s="90"/>
      <c r="CF223" s="90"/>
    </row>
    <row r="224" spans="1:104">
      <c r="U224" s="241"/>
      <c r="Y224" s="241"/>
      <c r="BC224" s="90"/>
      <c r="CD224" s="90"/>
      <c r="CF224" s="90"/>
    </row>
    <row r="225" spans="84:84">
      <c r="CF225" s="90"/>
    </row>
  </sheetData>
  <phoneticPr fontId="25" type="noConversion"/>
  <pageMargins left="0.7" right="0.7" top="0.75" bottom="0.75" header="0.3" footer="0.3"/>
  <legacy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I123"/>
  <sheetViews>
    <sheetView workbookViewId="0">
      <pane xSplit="1" ySplit="1" topLeftCell="GN80" activePane="bottomRight" state="frozen"/>
      <selection pane="topRight" activeCell="B1" sqref="B1"/>
      <selection pane="bottomLeft" activeCell="A2" sqref="A2"/>
      <selection pane="bottomRight" activeCell="GV94" sqref="GV94"/>
    </sheetView>
  </sheetViews>
  <sheetFormatPr baseColWidth="10" defaultRowHeight="15"/>
  <cols>
    <col min="1" max="1" width="50.5703125" style="30" customWidth="1"/>
    <col min="2" max="12" width="12.5703125" style="30" customWidth="1"/>
    <col min="13" max="21" width="11.42578125" style="30"/>
    <col min="22" max="22" width="12" style="30" bestFit="1" customWidth="1"/>
    <col min="23" max="33" width="11.42578125" style="30"/>
    <col min="34" max="34" width="12" style="30" bestFit="1" customWidth="1"/>
    <col min="35" max="45" width="11.42578125" style="30"/>
    <col min="46" max="46" width="12" style="30" bestFit="1" customWidth="1"/>
    <col min="47" max="152" width="11.42578125" style="30"/>
    <col min="153" max="153" width="8.140625" style="30" bestFit="1" customWidth="1"/>
    <col min="154" max="154" width="12" style="30" bestFit="1" customWidth="1"/>
    <col min="155" max="182" width="11.42578125" style="30"/>
    <col min="183" max="183" width="11.42578125" style="30" customWidth="1"/>
    <col min="184" max="193" width="11.42578125" style="30"/>
    <col min="194" max="198" width="12.140625" style="30" bestFit="1" customWidth="1"/>
    <col min="199" max="241" width="11.42578125" style="30"/>
    <col min="242" max="242" width="50.5703125" style="30" customWidth="1"/>
    <col min="243" max="243" width="6" style="30" customWidth="1"/>
    <col min="244" max="244" width="12.42578125" style="30" customWidth="1"/>
    <col min="245" max="255" width="12.5703125" style="30" customWidth="1"/>
    <col min="256" max="497" width="11.42578125" style="30"/>
    <col min="498" max="498" width="50.5703125" style="30" customWidth="1"/>
    <col min="499" max="499" width="6" style="30" customWidth="1"/>
    <col min="500" max="500" width="12.42578125" style="30" customWidth="1"/>
    <col min="501" max="511" width="12.5703125" style="30" customWidth="1"/>
    <col min="512" max="753" width="11.42578125" style="30"/>
    <col min="754" max="754" width="50.5703125" style="30" customWidth="1"/>
    <col min="755" max="755" width="6" style="30" customWidth="1"/>
    <col min="756" max="756" width="12.42578125" style="30" customWidth="1"/>
    <col min="757" max="767" width="12.5703125" style="30" customWidth="1"/>
    <col min="768" max="1009" width="11.42578125" style="30"/>
    <col min="1010" max="1010" width="50.5703125" style="30" customWidth="1"/>
    <col min="1011" max="1011" width="6" style="30" customWidth="1"/>
    <col min="1012" max="1012" width="12.42578125" style="30" customWidth="1"/>
    <col min="1013" max="1023" width="12.5703125" style="30" customWidth="1"/>
    <col min="1024" max="1265" width="11.42578125" style="30"/>
    <col min="1266" max="1266" width="50.5703125" style="30" customWidth="1"/>
    <col min="1267" max="1267" width="6" style="30" customWidth="1"/>
    <col min="1268" max="1268" width="12.42578125" style="30" customWidth="1"/>
    <col min="1269" max="1279" width="12.5703125" style="30" customWidth="1"/>
    <col min="1280" max="1521" width="11.42578125" style="30"/>
    <col min="1522" max="1522" width="50.5703125" style="30" customWidth="1"/>
    <col min="1523" max="1523" width="6" style="30" customWidth="1"/>
    <col min="1524" max="1524" width="12.42578125" style="30" customWidth="1"/>
    <col min="1525" max="1535" width="12.5703125" style="30" customWidth="1"/>
    <col min="1536" max="1777" width="11.42578125" style="30"/>
    <col min="1778" max="1778" width="50.5703125" style="30" customWidth="1"/>
    <col min="1779" max="1779" width="6" style="30" customWidth="1"/>
    <col min="1780" max="1780" width="12.42578125" style="30" customWidth="1"/>
    <col min="1781" max="1791" width="12.5703125" style="30" customWidth="1"/>
    <col min="1792" max="2033" width="11.42578125" style="30"/>
    <col min="2034" max="2034" width="50.5703125" style="30" customWidth="1"/>
    <col min="2035" max="2035" width="6" style="30" customWidth="1"/>
    <col min="2036" max="2036" width="12.42578125" style="30" customWidth="1"/>
    <col min="2037" max="2047" width="12.5703125" style="30" customWidth="1"/>
    <col min="2048" max="2289" width="11.42578125" style="30"/>
    <col min="2290" max="2290" width="50.5703125" style="30" customWidth="1"/>
    <col min="2291" max="2291" width="6" style="30" customWidth="1"/>
    <col min="2292" max="2292" width="12.42578125" style="30" customWidth="1"/>
    <col min="2293" max="2303" width="12.5703125" style="30" customWidth="1"/>
    <col min="2304" max="2545" width="11.42578125" style="30"/>
    <col min="2546" max="2546" width="50.5703125" style="30" customWidth="1"/>
    <col min="2547" max="2547" width="6" style="30" customWidth="1"/>
    <col min="2548" max="2548" width="12.42578125" style="30" customWidth="1"/>
    <col min="2549" max="2559" width="12.5703125" style="30" customWidth="1"/>
    <col min="2560" max="2801" width="11.42578125" style="30"/>
    <col min="2802" max="2802" width="50.5703125" style="30" customWidth="1"/>
    <col min="2803" max="2803" width="6" style="30" customWidth="1"/>
    <col min="2804" max="2804" width="12.42578125" style="30" customWidth="1"/>
    <col min="2805" max="2815" width="12.5703125" style="30" customWidth="1"/>
    <col min="2816" max="3057" width="11.42578125" style="30"/>
    <col min="3058" max="3058" width="50.5703125" style="30" customWidth="1"/>
    <col min="3059" max="3059" width="6" style="30" customWidth="1"/>
    <col min="3060" max="3060" width="12.42578125" style="30" customWidth="1"/>
    <col min="3061" max="3071" width="12.5703125" style="30" customWidth="1"/>
    <col min="3072" max="3313" width="11.42578125" style="30"/>
    <col min="3314" max="3314" width="50.5703125" style="30" customWidth="1"/>
    <col min="3315" max="3315" width="6" style="30" customWidth="1"/>
    <col min="3316" max="3316" width="12.42578125" style="30" customWidth="1"/>
    <col min="3317" max="3327" width="12.5703125" style="30" customWidth="1"/>
    <col min="3328" max="3569" width="11.42578125" style="30"/>
    <col min="3570" max="3570" width="50.5703125" style="30" customWidth="1"/>
    <col min="3571" max="3571" width="6" style="30" customWidth="1"/>
    <col min="3572" max="3572" width="12.42578125" style="30" customWidth="1"/>
    <col min="3573" max="3583" width="12.5703125" style="30" customWidth="1"/>
    <col min="3584" max="3825" width="11.42578125" style="30"/>
    <col min="3826" max="3826" width="50.5703125" style="30" customWidth="1"/>
    <col min="3827" max="3827" width="6" style="30" customWidth="1"/>
    <col min="3828" max="3828" width="12.42578125" style="30" customWidth="1"/>
    <col min="3829" max="3839" width="12.5703125" style="30" customWidth="1"/>
    <col min="3840" max="4081" width="11.42578125" style="30"/>
    <col min="4082" max="4082" width="50.5703125" style="30" customWidth="1"/>
    <col min="4083" max="4083" width="6" style="30" customWidth="1"/>
    <col min="4084" max="4084" width="12.42578125" style="30" customWidth="1"/>
    <col min="4085" max="4095" width="12.5703125" style="30" customWidth="1"/>
    <col min="4096" max="4337" width="11.42578125" style="30"/>
    <col min="4338" max="4338" width="50.5703125" style="30" customWidth="1"/>
    <col min="4339" max="4339" width="6" style="30" customWidth="1"/>
    <col min="4340" max="4340" width="12.42578125" style="30" customWidth="1"/>
    <col min="4341" max="4351" width="12.5703125" style="30" customWidth="1"/>
    <col min="4352" max="4593" width="11.42578125" style="30"/>
    <col min="4594" max="4594" width="50.5703125" style="30" customWidth="1"/>
    <col min="4595" max="4595" width="6" style="30" customWidth="1"/>
    <col min="4596" max="4596" width="12.42578125" style="30" customWidth="1"/>
    <col min="4597" max="4607" width="12.5703125" style="30" customWidth="1"/>
    <col min="4608" max="4849" width="11.42578125" style="30"/>
    <col min="4850" max="4850" width="50.5703125" style="30" customWidth="1"/>
    <col min="4851" max="4851" width="6" style="30" customWidth="1"/>
    <col min="4852" max="4852" width="12.42578125" style="30" customWidth="1"/>
    <col min="4853" max="4863" width="12.5703125" style="30" customWidth="1"/>
    <col min="4864" max="5105" width="11.42578125" style="30"/>
    <col min="5106" max="5106" width="50.5703125" style="30" customWidth="1"/>
    <col min="5107" max="5107" width="6" style="30" customWidth="1"/>
    <col min="5108" max="5108" width="12.42578125" style="30" customWidth="1"/>
    <col min="5109" max="5119" width="12.5703125" style="30" customWidth="1"/>
    <col min="5120" max="5361" width="11.42578125" style="30"/>
    <col min="5362" max="5362" width="50.5703125" style="30" customWidth="1"/>
    <col min="5363" max="5363" width="6" style="30" customWidth="1"/>
    <col min="5364" max="5364" width="12.42578125" style="30" customWidth="1"/>
    <col min="5365" max="5375" width="12.5703125" style="30" customWidth="1"/>
    <col min="5376" max="5617" width="11.42578125" style="30"/>
    <col min="5618" max="5618" width="50.5703125" style="30" customWidth="1"/>
    <col min="5619" max="5619" width="6" style="30" customWidth="1"/>
    <col min="5620" max="5620" width="12.42578125" style="30" customWidth="1"/>
    <col min="5621" max="5631" width="12.5703125" style="30" customWidth="1"/>
    <col min="5632" max="5873" width="11.42578125" style="30"/>
    <col min="5874" max="5874" width="50.5703125" style="30" customWidth="1"/>
    <col min="5875" max="5875" width="6" style="30" customWidth="1"/>
    <col min="5876" max="5876" width="12.42578125" style="30" customWidth="1"/>
    <col min="5877" max="5887" width="12.5703125" style="30" customWidth="1"/>
    <col min="5888" max="6129" width="11.42578125" style="30"/>
    <col min="6130" max="6130" width="50.5703125" style="30" customWidth="1"/>
    <col min="6131" max="6131" width="6" style="30" customWidth="1"/>
    <col min="6132" max="6132" width="12.42578125" style="30" customWidth="1"/>
    <col min="6133" max="6143" width="12.5703125" style="30" customWidth="1"/>
    <col min="6144" max="6385" width="11.42578125" style="30"/>
    <col min="6386" max="6386" width="50.5703125" style="30" customWidth="1"/>
    <col min="6387" max="6387" width="6" style="30" customWidth="1"/>
    <col min="6388" max="6388" width="12.42578125" style="30" customWidth="1"/>
    <col min="6389" max="6399" width="12.5703125" style="30" customWidth="1"/>
    <col min="6400" max="6641" width="11.42578125" style="30"/>
    <col min="6642" max="6642" width="50.5703125" style="30" customWidth="1"/>
    <col min="6643" max="6643" width="6" style="30" customWidth="1"/>
    <col min="6644" max="6644" width="12.42578125" style="30" customWidth="1"/>
    <col min="6645" max="6655" width="12.5703125" style="30" customWidth="1"/>
    <col min="6656" max="6897" width="11.42578125" style="30"/>
    <col min="6898" max="6898" width="50.5703125" style="30" customWidth="1"/>
    <col min="6899" max="6899" width="6" style="30" customWidth="1"/>
    <col min="6900" max="6900" width="12.42578125" style="30" customWidth="1"/>
    <col min="6901" max="6911" width="12.5703125" style="30" customWidth="1"/>
    <col min="6912" max="7153" width="11.42578125" style="30"/>
    <col min="7154" max="7154" width="50.5703125" style="30" customWidth="1"/>
    <col min="7155" max="7155" width="6" style="30" customWidth="1"/>
    <col min="7156" max="7156" width="12.42578125" style="30" customWidth="1"/>
    <col min="7157" max="7167" width="12.5703125" style="30" customWidth="1"/>
    <col min="7168" max="7409" width="11.42578125" style="30"/>
    <col min="7410" max="7410" width="50.5703125" style="30" customWidth="1"/>
    <col min="7411" max="7411" width="6" style="30" customWidth="1"/>
    <col min="7412" max="7412" width="12.42578125" style="30" customWidth="1"/>
    <col min="7413" max="7423" width="12.5703125" style="30" customWidth="1"/>
    <col min="7424" max="7665" width="11.42578125" style="30"/>
    <col min="7666" max="7666" width="50.5703125" style="30" customWidth="1"/>
    <col min="7667" max="7667" width="6" style="30" customWidth="1"/>
    <col min="7668" max="7668" width="12.42578125" style="30" customWidth="1"/>
    <col min="7669" max="7679" width="12.5703125" style="30" customWidth="1"/>
    <col min="7680" max="7921" width="11.42578125" style="30"/>
    <col min="7922" max="7922" width="50.5703125" style="30" customWidth="1"/>
    <col min="7923" max="7923" width="6" style="30" customWidth="1"/>
    <col min="7924" max="7924" width="12.42578125" style="30" customWidth="1"/>
    <col min="7925" max="7935" width="12.5703125" style="30" customWidth="1"/>
    <col min="7936" max="8177" width="11.42578125" style="30"/>
    <col min="8178" max="8178" width="50.5703125" style="30" customWidth="1"/>
    <col min="8179" max="8179" width="6" style="30" customWidth="1"/>
    <col min="8180" max="8180" width="12.42578125" style="30" customWidth="1"/>
    <col min="8181" max="8191" width="12.5703125" style="30" customWidth="1"/>
    <col min="8192" max="8433" width="11.42578125" style="30"/>
    <col min="8434" max="8434" width="50.5703125" style="30" customWidth="1"/>
    <col min="8435" max="8435" width="6" style="30" customWidth="1"/>
    <col min="8436" max="8436" width="12.42578125" style="30" customWidth="1"/>
    <col min="8437" max="8447" width="12.5703125" style="30" customWidth="1"/>
    <col min="8448" max="8689" width="11.42578125" style="30"/>
    <col min="8690" max="8690" width="50.5703125" style="30" customWidth="1"/>
    <col min="8691" max="8691" width="6" style="30" customWidth="1"/>
    <col min="8692" max="8692" width="12.42578125" style="30" customWidth="1"/>
    <col min="8693" max="8703" width="12.5703125" style="30" customWidth="1"/>
    <col min="8704" max="8945" width="11.42578125" style="30"/>
    <col min="8946" max="8946" width="50.5703125" style="30" customWidth="1"/>
    <col min="8947" max="8947" width="6" style="30" customWidth="1"/>
    <col min="8948" max="8948" width="12.42578125" style="30" customWidth="1"/>
    <col min="8949" max="8959" width="12.5703125" style="30" customWidth="1"/>
    <col min="8960" max="9201" width="11.42578125" style="30"/>
    <col min="9202" max="9202" width="50.5703125" style="30" customWidth="1"/>
    <col min="9203" max="9203" width="6" style="30" customWidth="1"/>
    <col min="9204" max="9204" width="12.42578125" style="30" customWidth="1"/>
    <col min="9205" max="9215" width="12.5703125" style="30" customWidth="1"/>
    <col min="9216" max="9457" width="11.42578125" style="30"/>
    <col min="9458" max="9458" width="50.5703125" style="30" customWidth="1"/>
    <col min="9459" max="9459" width="6" style="30" customWidth="1"/>
    <col min="9460" max="9460" width="12.42578125" style="30" customWidth="1"/>
    <col min="9461" max="9471" width="12.5703125" style="30" customWidth="1"/>
    <col min="9472" max="9713" width="11.42578125" style="30"/>
    <col min="9714" max="9714" width="50.5703125" style="30" customWidth="1"/>
    <col min="9715" max="9715" width="6" style="30" customWidth="1"/>
    <col min="9716" max="9716" width="12.42578125" style="30" customWidth="1"/>
    <col min="9717" max="9727" width="12.5703125" style="30" customWidth="1"/>
    <col min="9728" max="9969" width="11.42578125" style="30"/>
    <col min="9970" max="9970" width="50.5703125" style="30" customWidth="1"/>
    <col min="9971" max="9971" width="6" style="30" customWidth="1"/>
    <col min="9972" max="9972" width="12.42578125" style="30" customWidth="1"/>
    <col min="9973" max="9983" width="12.5703125" style="30" customWidth="1"/>
    <col min="9984" max="10225" width="11.42578125" style="30"/>
    <col min="10226" max="10226" width="50.5703125" style="30" customWidth="1"/>
    <col min="10227" max="10227" width="6" style="30" customWidth="1"/>
    <col min="10228" max="10228" width="12.42578125" style="30" customWidth="1"/>
    <col min="10229" max="10239" width="12.5703125" style="30" customWidth="1"/>
    <col min="10240" max="10481" width="11.42578125" style="30"/>
    <col min="10482" max="10482" width="50.5703125" style="30" customWidth="1"/>
    <col min="10483" max="10483" width="6" style="30" customWidth="1"/>
    <col min="10484" max="10484" width="12.42578125" style="30" customWidth="1"/>
    <col min="10485" max="10495" width="12.5703125" style="30" customWidth="1"/>
    <col min="10496" max="10737" width="11.42578125" style="30"/>
    <col min="10738" max="10738" width="50.5703125" style="30" customWidth="1"/>
    <col min="10739" max="10739" width="6" style="30" customWidth="1"/>
    <col min="10740" max="10740" width="12.42578125" style="30" customWidth="1"/>
    <col min="10741" max="10751" width="12.5703125" style="30" customWidth="1"/>
    <col min="10752" max="10993" width="11.42578125" style="30"/>
    <col min="10994" max="10994" width="50.5703125" style="30" customWidth="1"/>
    <col min="10995" max="10995" width="6" style="30" customWidth="1"/>
    <col min="10996" max="10996" width="12.42578125" style="30" customWidth="1"/>
    <col min="10997" max="11007" width="12.5703125" style="30" customWidth="1"/>
    <col min="11008" max="11249" width="11.42578125" style="30"/>
    <col min="11250" max="11250" width="50.5703125" style="30" customWidth="1"/>
    <col min="11251" max="11251" width="6" style="30" customWidth="1"/>
    <col min="11252" max="11252" width="12.42578125" style="30" customWidth="1"/>
    <col min="11253" max="11263" width="12.5703125" style="30" customWidth="1"/>
    <col min="11264" max="11505" width="11.42578125" style="30"/>
    <col min="11506" max="11506" width="50.5703125" style="30" customWidth="1"/>
    <col min="11507" max="11507" width="6" style="30" customWidth="1"/>
    <col min="11508" max="11508" width="12.42578125" style="30" customWidth="1"/>
    <col min="11509" max="11519" width="12.5703125" style="30" customWidth="1"/>
    <col min="11520" max="11761" width="11.42578125" style="30"/>
    <col min="11762" max="11762" width="50.5703125" style="30" customWidth="1"/>
    <col min="11763" max="11763" width="6" style="30" customWidth="1"/>
    <col min="11764" max="11764" width="12.42578125" style="30" customWidth="1"/>
    <col min="11765" max="11775" width="12.5703125" style="30" customWidth="1"/>
    <col min="11776" max="12017" width="11.42578125" style="30"/>
    <col min="12018" max="12018" width="50.5703125" style="30" customWidth="1"/>
    <col min="12019" max="12019" width="6" style="30" customWidth="1"/>
    <col min="12020" max="12020" width="12.42578125" style="30" customWidth="1"/>
    <col min="12021" max="12031" width="12.5703125" style="30" customWidth="1"/>
    <col min="12032" max="12273" width="11.42578125" style="30"/>
    <col min="12274" max="12274" width="50.5703125" style="30" customWidth="1"/>
    <col min="12275" max="12275" width="6" style="30" customWidth="1"/>
    <col min="12276" max="12276" width="12.42578125" style="30" customWidth="1"/>
    <col min="12277" max="12287" width="12.5703125" style="30" customWidth="1"/>
    <col min="12288" max="12529" width="11.42578125" style="30"/>
    <col min="12530" max="12530" width="50.5703125" style="30" customWidth="1"/>
    <col min="12531" max="12531" width="6" style="30" customWidth="1"/>
    <col min="12532" max="12532" width="12.42578125" style="30" customWidth="1"/>
    <col min="12533" max="12543" width="12.5703125" style="30" customWidth="1"/>
    <col min="12544" max="12785" width="11.42578125" style="30"/>
    <col min="12786" max="12786" width="50.5703125" style="30" customWidth="1"/>
    <col min="12787" max="12787" width="6" style="30" customWidth="1"/>
    <col min="12788" max="12788" width="12.42578125" style="30" customWidth="1"/>
    <col min="12789" max="12799" width="12.5703125" style="30" customWidth="1"/>
    <col min="12800" max="13041" width="11.42578125" style="30"/>
    <col min="13042" max="13042" width="50.5703125" style="30" customWidth="1"/>
    <col min="13043" max="13043" width="6" style="30" customWidth="1"/>
    <col min="13044" max="13044" width="12.42578125" style="30" customWidth="1"/>
    <col min="13045" max="13055" width="12.5703125" style="30" customWidth="1"/>
    <col min="13056" max="13297" width="11.42578125" style="30"/>
    <col min="13298" max="13298" width="50.5703125" style="30" customWidth="1"/>
    <col min="13299" max="13299" width="6" style="30" customWidth="1"/>
    <col min="13300" max="13300" width="12.42578125" style="30" customWidth="1"/>
    <col min="13301" max="13311" width="12.5703125" style="30" customWidth="1"/>
    <col min="13312" max="13553" width="11.42578125" style="30"/>
    <col min="13554" max="13554" width="50.5703125" style="30" customWidth="1"/>
    <col min="13555" max="13555" width="6" style="30" customWidth="1"/>
    <col min="13556" max="13556" width="12.42578125" style="30" customWidth="1"/>
    <col min="13557" max="13567" width="12.5703125" style="30" customWidth="1"/>
    <col min="13568" max="13809" width="11.42578125" style="30"/>
    <col min="13810" max="13810" width="50.5703125" style="30" customWidth="1"/>
    <col min="13811" max="13811" width="6" style="30" customWidth="1"/>
    <col min="13812" max="13812" width="12.42578125" style="30" customWidth="1"/>
    <col min="13813" max="13823" width="12.5703125" style="30" customWidth="1"/>
    <col min="13824" max="14065" width="11.42578125" style="30"/>
    <col min="14066" max="14066" width="50.5703125" style="30" customWidth="1"/>
    <col min="14067" max="14067" width="6" style="30" customWidth="1"/>
    <col min="14068" max="14068" width="12.42578125" style="30" customWidth="1"/>
    <col min="14069" max="14079" width="12.5703125" style="30" customWidth="1"/>
    <col min="14080" max="14321" width="11.42578125" style="30"/>
    <col min="14322" max="14322" width="50.5703125" style="30" customWidth="1"/>
    <col min="14323" max="14323" width="6" style="30" customWidth="1"/>
    <col min="14324" max="14324" width="12.42578125" style="30" customWidth="1"/>
    <col min="14325" max="14335" width="12.5703125" style="30" customWidth="1"/>
    <col min="14336" max="14577" width="11.42578125" style="30"/>
    <col min="14578" max="14578" width="50.5703125" style="30" customWidth="1"/>
    <col min="14579" max="14579" width="6" style="30" customWidth="1"/>
    <col min="14580" max="14580" width="12.42578125" style="30" customWidth="1"/>
    <col min="14581" max="14591" width="12.5703125" style="30" customWidth="1"/>
    <col min="14592" max="14833" width="11.42578125" style="30"/>
    <col min="14834" max="14834" width="50.5703125" style="30" customWidth="1"/>
    <col min="14835" max="14835" width="6" style="30" customWidth="1"/>
    <col min="14836" max="14836" width="12.42578125" style="30" customWidth="1"/>
    <col min="14837" max="14847" width="12.5703125" style="30" customWidth="1"/>
    <col min="14848" max="15089" width="11.42578125" style="30"/>
    <col min="15090" max="15090" width="50.5703125" style="30" customWidth="1"/>
    <col min="15091" max="15091" width="6" style="30" customWidth="1"/>
    <col min="15092" max="15092" width="12.42578125" style="30" customWidth="1"/>
    <col min="15093" max="15103" width="12.5703125" style="30" customWidth="1"/>
    <col min="15104" max="15345" width="11.42578125" style="30"/>
    <col min="15346" max="15346" width="50.5703125" style="30" customWidth="1"/>
    <col min="15347" max="15347" width="6" style="30" customWidth="1"/>
    <col min="15348" max="15348" width="12.42578125" style="30" customWidth="1"/>
    <col min="15349" max="15359" width="12.5703125" style="30" customWidth="1"/>
    <col min="15360" max="15601" width="11.42578125" style="30"/>
    <col min="15602" max="15602" width="50.5703125" style="30" customWidth="1"/>
    <col min="15603" max="15603" width="6" style="30" customWidth="1"/>
    <col min="15604" max="15604" width="12.42578125" style="30" customWidth="1"/>
    <col min="15605" max="15615" width="12.5703125" style="30" customWidth="1"/>
    <col min="15616" max="15857" width="11.42578125" style="30"/>
    <col min="15858" max="15858" width="50.5703125" style="30" customWidth="1"/>
    <col min="15859" max="15859" width="6" style="30" customWidth="1"/>
    <col min="15860" max="15860" width="12.42578125" style="30" customWidth="1"/>
    <col min="15861" max="15871" width="12.5703125" style="30" customWidth="1"/>
    <col min="15872" max="16113" width="11.42578125" style="30"/>
    <col min="16114" max="16114" width="50.5703125" style="30" customWidth="1"/>
    <col min="16115" max="16115" width="6" style="30" customWidth="1"/>
    <col min="16116" max="16116" width="12.42578125" style="30" customWidth="1"/>
    <col min="16117" max="16127" width="12.5703125" style="30" customWidth="1"/>
    <col min="16128" max="16384" width="11.42578125" style="30"/>
  </cols>
  <sheetData>
    <row r="1" spans="1:217" s="19" customFormat="1" ht="18" customHeight="1" thickBot="1">
      <c r="A1" s="17" t="s">
        <v>47</v>
      </c>
      <c r="B1" s="18">
        <v>37622</v>
      </c>
      <c r="C1" s="18">
        <v>37653</v>
      </c>
      <c r="D1" s="18">
        <v>37681</v>
      </c>
      <c r="E1" s="18">
        <v>37712</v>
      </c>
      <c r="F1" s="18">
        <v>37742</v>
      </c>
      <c r="G1" s="18">
        <v>37773</v>
      </c>
      <c r="H1" s="18">
        <v>37803</v>
      </c>
      <c r="I1" s="18">
        <v>37834</v>
      </c>
      <c r="J1" s="18">
        <v>37865</v>
      </c>
      <c r="K1" s="18">
        <v>37895</v>
      </c>
      <c r="L1" s="18">
        <v>37926</v>
      </c>
      <c r="M1" s="18">
        <v>37956</v>
      </c>
      <c r="N1" s="18">
        <v>37987</v>
      </c>
      <c r="O1" s="18">
        <v>38018</v>
      </c>
      <c r="P1" s="18">
        <v>38047</v>
      </c>
      <c r="Q1" s="18">
        <v>38078</v>
      </c>
      <c r="R1" s="18">
        <v>38108</v>
      </c>
      <c r="S1" s="18">
        <v>38139</v>
      </c>
      <c r="T1" s="18">
        <v>38169</v>
      </c>
      <c r="U1" s="18">
        <v>38200</v>
      </c>
      <c r="V1" s="18">
        <v>38231</v>
      </c>
      <c r="W1" s="18">
        <v>38261</v>
      </c>
      <c r="X1" s="18">
        <v>38292</v>
      </c>
      <c r="Y1" s="18">
        <v>38322</v>
      </c>
      <c r="Z1" s="18">
        <v>38353</v>
      </c>
      <c r="AA1" s="18">
        <v>38384</v>
      </c>
      <c r="AB1" s="18">
        <v>38412</v>
      </c>
      <c r="AC1" s="18">
        <v>38443</v>
      </c>
      <c r="AD1" s="18">
        <v>38473</v>
      </c>
      <c r="AE1" s="18">
        <v>38504</v>
      </c>
      <c r="AF1" s="18">
        <v>38534</v>
      </c>
      <c r="AG1" s="18">
        <v>38565</v>
      </c>
      <c r="AH1" s="18">
        <v>38596</v>
      </c>
      <c r="AI1" s="18">
        <v>38626</v>
      </c>
      <c r="AJ1" s="18">
        <v>38657</v>
      </c>
      <c r="AK1" s="18">
        <v>38687</v>
      </c>
      <c r="AL1" s="18">
        <v>38718</v>
      </c>
      <c r="AM1" s="18">
        <v>38749</v>
      </c>
      <c r="AN1" s="18">
        <v>38777</v>
      </c>
      <c r="AO1" s="18">
        <v>38808</v>
      </c>
      <c r="AP1" s="18">
        <v>38838</v>
      </c>
      <c r="AQ1" s="18">
        <v>38869</v>
      </c>
      <c r="AR1" s="18">
        <v>38899</v>
      </c>
      <c r="AS1" s="18">
        <v>38930</v>
      </c>
      <c r="AT1" s="18">
        <v>38961</v>
      </c>
      <c r="AU1" s="18">
        <v>38991</v>
      </c>
      <c r="AV1" s="18">
        <v>39022</v>
      </c>
      <c r="AW1" s="18">
        <v>39052</v>
      </c>
      <c r="AX1" s="18">
        <v>39083</v>
      </c>
      <c r="AY1" s="18">
        <v>39114</v>
      </c>
      <c r="AZ1" s="18">
        <v>39142</v>
      </c>
      <c r="BA1" s="18">
        <v>39173</v>
      </c>
      <c r="BB1" s="18">
        <v>39203</v>
      </c>
      <c r="BC1" s="18">
        <v>39234</v>
      </c>
      <c r="BD1" s="18">
        <v>39264</v>
      </c>
      <c r="BE1" s="18">
        <v>39295</v>
      </c>
      <c r="BF1" s="18">
        <v>39326</v>
      </c>
      <c r="BG1" s="18">
        <v>39356</v>
      </c>
      <c r="BH1" s="18">
        <v>39387</v>
      </c>
      <c r="BI1" s="18">
        <v>39417</v>
      </c>
      <c r="BJ1" s="18">
        <v>39448</v>
      </c>
      <c r="BK1" s="18">
        <v>39479</v>
      </c>
      <c r="BL1" s="18">
        <v>39508</v>
      </c>
      <c r="BM1" s="18">
        <v>39539</v>
      </c>
      <c r="BN1" s="18">
        <v>39569</v>
      </c>
      <c r="BO1" s="18">
        <v>39600</v>
      </c>
      <c r="BP1" s="18">
        <v>39630</v>
      </c>
      <c r="BQ1" s="18">
        <v>39661</v>
      </c>
      <c r="BR1" s="18">
        <v>39692</v>
      </c>
      <c r="BS1" s="18">
        <v>39722</v>
      </c>
      <c r="BT1" s="18">
        <v>39753</v>
      </c>
      <c r="BU1" s="18">
        <v>39783</v>
      </c>
      <c r="BV1" s="18">
        <v>39814</v>
      </c>
      <c r="BW1" s="18">
        <v>39845</v>
      </c>
      <c r="BX1" s="18">
        <v>39873</v>
      </c>
      <c r="BY1" s="18">
        <v>39904</v>
      </c>
      <c r="BZ1" s="18">
        <v>39934</v>
      </c>
      <c r="CA1" s="18">
        <v>39965</v>
      </c>
      <c r="CB1" s="18">
        <v>39995</v>
      </c>
      <c r="CC1" s="18">
        <v>40026</v>
      </c>
      <c r="CD1" s="18">
        <v>40057</v>
      </c>
      <c r="CE1" s="18">
        <v>40087</v>
      </c>
      <c r="CF1" s="18">
        <v>40118</v>
      </c>
      <c r="CG1" s="18">
        <v>40148</v>
      </c>
      <c r="CH1" s="18">
        <v>40179</v>
      </c>
      <c r="CI1" s="18">
        <v>40210</v>
      </c>
      <c r="CJ1" s="18">
        <v>40238</v>
      </c>
      <c r="CK1" s="18">
        <v>40269</v>
      </c>
      <c r="CL1" s="18">
        <v>40299</v>
      </c>
      <c r="CM1" s="18">
        <v>40330</v>
      </c>
      <c r="CN1" s="18">
        <v>40360</v>
      </c>
      <c r="CO1" s="18">
        <v>40391</v>
      </c>
      <c r="CP1" s="18">
        <v>40422</v>
      </c>
      <c r="CQ1" s="18">
        <v>40452</v>
      </c>
      <c r="CR1" s="18">
        <v>40483</v>
      </c>
      <c r="CS1" s="18">
        <v>40513</v>
      </c>
      <c r="CT1" s="18">
        <v>40544</v>
      </c>
      <c r="CU1" s="18">
        <v>40575</v>
      </c>
      <c r="CV1" s="18">
        <v>40603</v>
      </c>
      <c r="CW1" s="18">
        <v>40634</v>
      </c>
      <c r="CX1" s="18">
        <v>40664</v>
      </c>
      <c r="CY1" s="18">
        <v>40695</v>
      </c>
      <c r="CZ1" s="18">
        <v>40725</v>
      </c>
      <c r="DA1" s="18">
        <v>40756</v>
      </c>
      <c r="DB1" s="18">
        <v>40787</v>
      </c>
      <c r="DC1" s="18">
        <v>40817</v>
      </c>
      <c r="DD1" s="18">
        <v>40848</v>
      </c>
      <c r="DE1" s="18">
        <v>40878</v>
      </c>
      <c r="DF1" s="18">
        <v>40909</v>
      </c>
      <c r="DG1" s="18">
        <v>40940</v>
      </c>
      <c r="DH1" s="18">
        <v>40969</v>
      </c>
      <c r="DI1" s="18">
        <v>41000</v>
      </c>
      <c r="DJ1" s="18">
        <v>41030</v>
      </c>
      <c r="DK1" s="18">
        <v>41061</v>
      </c>
      <c r="DL1" s="18">
        <v>41091</v>
      </c>
      <c r="DM1" s="18">
        <v>41122</v>
      </c>
      <c r="DN1" s="18">
        <v>41153</v>
      </c>
      <c r="DO1" s="18">
        <v>41183</v>
      </c>
      <c r="DP1" s="18">
        <v>41214</v>
      </c>
      <c r="DQ1" s="18">
        <v>41244</v>
      </c>
      <c r="DR1" s="18">
        <v>41275</v>
      </c>
      <c r="DS1" s="18">
        <v>41306</v>
      </c>
      <c r="DT1" s="18">
        <v>41334</v>
      </c>
      <c r="DU1" s="18">
        <v>41365</v>
      </c>
      <c r="DV1" s="18">
        <v>41395</v>
      </c>
      <c r="DW1" s="18">
        <v>41426</v>
      </c>
      <c r="DX1" s="18">
        <v>41456</v>
      </c>
      <c r="DY1" s="18">
        <v>41487</v>
      </c>
      <c r="DZ1" s="18">
        <v>41518</v>
      </c>
      <c r="EA1" s="18">
        <v>41548</v>
      </c>
      <c r="EB1" s="18">
        <v>41579</v>
      </c>
      <c r="EC1" s="18">
        <v>41609</v>
      </c>
      <c r="ED1" s="18">
        <v>41640</v>
      </c>
      <c r="EE1" s="18">
        <v>41671</v>
      </c>
      <c r="EF1" s="18">
        <v>41699</v>
      </c>
      <c r="EG1" s="18">
        <v>41730</v>
      </c>
      <c r="EH1" s="18">
        <v>41760</v>
      </c>
      <c r="EI1" s="18">
        <v>41791</v>
      </c>
      <c r="EJ1" s="18">
        <v>41821</v>
      </c>
      <c r="EK1" s="18">
        <v>41852</v>
      </c>
      <c r="EL1" s="18">
        <v>41883</v>
      </c>
      <c r="EM1" s="18">
        <v>41913</v>
      </c>
      <c r="EN1" s="18">
        <v>41944</v>
      </c>
      <c r="EO1" s="18">
        <v>41974</v>
      </c>
      <c r="EP1" s="18">
        <v>42005</v>
      </c>
      <c r="EQ1" s="18">
        <v>42036</v>
      </c>
      <c r="ER1" s="18">
        <v>42064</v>
      </c>
      <c r="ES1" s="18">
        <v>42095</v>
      </c>
      <c r="ET1" s="18">
        <v>42125</v>
      </c>
      <c r="EU1" s="18">
        <v>42156</v>
      </c>
      <c r="EV1" s="18">
        <v>42186</v>
      </c>
      <c r="EW1" s="18">
        <v>42217</v>
      </c>
      <c r="EX1" s="18">
        <v>42248</v>
      </c>
      <c r="EY1" s="18">
        <v>42278</v>
      </c>
      <c r="EZ1" s="18">
        <v>42309</v>
      </c>
      <c r="FA1" s="18">
        <v>42339</v>
      </c>
      <c r="FB1" s="18">
        <v>42370</v>
      </c>
      <c r="FC1" s="18">
        <v>42401</v>
      </c>
      <c r="FD1" s="18">
        <v>42430</v>
      </c>
      <c r="FE1" s="18">
        <v>42461</v>
      </c>
      <c r="FF1" s="18">
        <v>42491</v>
      </c>
      <c r="FG1" s="18">
        <v>42522</v>
      </c>
      <c r="FH1" s="18">
        <v>42552</v>
      </c>
      <c r="FI1" s="18">
        <v>42583</v>
      </c>
      <c r="FJ1" s="18">
        <v>42614</v>
      </c>
      <c r="FK1" s="18">
        <v>42644</v>
      </c>
      <c r="FL1" s="18">
        <v>42675</v>
      </c>
      <c r="FM1" s="18">
        <v>42705</v>
      </c>
      <c r="FN1" s="18">
        <v>42736</v>
      </c>
      <c r="FO1" s="18">
        <v>42767</v>
      </c>
      <c r="FP1" s="18">
        <v>42795</v>
      </c>
      <c r="FQ1" s="18">
        <v>42826</v>
      </c>
      <c r="FR1" s="18">
        <v>42856</v>
      </c>
      <c r="FS1" s="18">
        <v>42887</v>
      </c>
      <c r="FT1" s="18">
        <v>42917</v>
      </c>
      <c r="FU1" s="18">
        <v>42948</v>
      </c>
      <c r="FV1" s="18">
        <v>42979</v>
      </c>
      <c r="FW1" s="18">
        <v>43009</v>
      </c>
      <c r="FX1" s="18">
        <v>43040</v>
      </c>
      <c r="FY1" s="18">
        <v>43070</v>
      </c>
      <c r="FZ1" s="18">
        <v>43101</v>
      </c>
      <c r="GA1" s="18">
        <v>43132</v>
      </c>
      <c r="GB1" s="18">
        <v>43160</v>
      </c>
      <c r="GC1" s="18">
        <v>43191</v>
      </c>
      <c r="GD1" s="18">
        <v>43221</v>
      </c>
      <c r="GE1" s="18">
        <v>43252</v>
      </c>
      <c r="GF1" s="18">
        <v>43282</v>
      </c>
      <c r="GG1" s="18">
        <v>43313</v>
      </c>
      <c r="GH1" s="18">
        <v>43344</v>
      </c>
      <c r="GI1" s="18">
        <v>43374</v>
      </c>
      <c r="GJ1" s="18">
        <v>43405</v>
      </c>
      <c r="GK1" s="18">
        <v>43435</v>
      </c>
      <c r="GL1" s="18">
        <v>43466</v>
      </c>
      <c r="GM1" s="18">
        <v>43497</v>
      </c>
      <c r="GN1" s="18">
        <v>43525</v>
      </c>
      <c r="GO1" s="18">
        <v>43556</v>
      </c>
      <c r="GP1" s="18">
        <v>43586</v>
      </c>
      <c r="GQ1" s="18">
        <v>43617</v>
      </c>
      <c r="GR1" s="18">
        <v>43647</v>
      </c>
      <c r="GS1" s="18">
        <v>43678</v>
      </c>
      <c r="GT1" s="18">
        <v>43709</v>
      </c>
      <c r="GU1" s="18">
        <v>43739</v>
      </c>
      <c r="GV1" s="18">
        <v>43770</v>
      </c>
      <c r="GW1" s="18">
        <v>43800</v>
      </c>
      <c r="GX1" s="18">
        <v>43831</v>
      </c>
      <c r="GY1" s="18">
        <v>43862</v>
      </c>
      <c r="GZ1" s="18">
        <v>43891</v>
      </c>
      <c r="HA1" s="18">
        <v>43922</v>
      </c>
      <c r="HB1" s="18">
        <v>43952</v>
      </c>
      <c r="HC1" s="18">
        <v>43983</v>
      </c>
      <c r="HD1" s="18">
        <v>44013</v>
      </c>
      <c r="HE1" s="18">
        <v>44044</v>
      </c>
      <c r="HF1" s="18">
        <v>44075</v>
      </c>
      <c r="HG1" s="18">
        <v>44105</v>
      </c>
      <c r="HH1" s="18">
        <v>44136</v>
      </c>
      <c r="HI1" s="18">
        <v>44166</v>
      </c>
    </row>
    <row r="2" spans="1:217" s="22" customFormat="1" ht="14.25">
      <c r="A2" s="20" t="s">
        <v>48</v>
      </c>
      <c r="B2" s="21">
        <v>392.11764131300004</v>
      </c>
      <c r="C2" s="21">
        <v>394.27035070800002</v>
      </c>
      <c r="D2" s="21">
        <v>411.83554843400009</v>
      </c>
      <c r="E2" s="21">
        <v>511.77784363899997</v>
      </c>
      <c r="F2" s="21">
        <v>457.252635457</v>
      </c>
      <c r="G2" s="21">
        <v>400.08869956600006</v>
      </c>
      <c r="H2" s="21">
        <v>476.64580259999997</v>
      </c>
      <c r="I2" s="21">
        <v>511.86180690700002</v>
      </c>
      <c r="J2" s="21">
        <v>534.06887736700003</v>
      </c>
      <c r="K2" s="21">
        <v>555.24246641499997</v>
      </c>
      <c r="L2" s="21">
        <v>582.64804531400011</v>
      </c>
      <c r="M2" s="21">
        <v>837.1590665079998</v>
      </c>
      <c r="N2" s="21">
        <v>377.89362093800003</v>
      </c>
      <c r="O2" s="21">
        <v>502.89529373300002</v>
      </c>
      <c r="P2" s="21">
        <v>614.61959754999998</v>
      </c>
      <c r="Q2" s="21">
        <v>628.28930276300002</v>
      </c>
      <c r="R2" s="21">
        <v>743.63048793100006</v>
      </c>
      <c r="S2" s="21">
        <v>594.75880984600008</v>
      </c>
      <c r="T2" s="21">
        <v>734.00302585899988</v>
      </c>
      <c r="U2" s="21">
        <v>655.30200582799989</v>
      </c>
      <c r="V2" s="21">
        <v>676.92107769600011</v>
      </c>
      <c r="W2" s="21">
        <v>681.55731332799985</v>
      </c>
      <c r="X2" s="21">
        <v>735.32286867499988</v>
      </c>
      <c r="Y2" s="21">
        <v>703.23841143799996</v>
      </c>
      <c r="Z2" s="21">
        <v>558.52203959100007</v>
      </c>
      <c r="AA2" s="21">
        <v>594.57119219499998</v>
      </c>
      <c r="AB2" s="21">
        <v>734.53343079499996</v>
      </c>
      <c r="AC2" s="21">
        <v>745.18733948199986</v>
      </c>
      <c r="AD2" s="21">
        <v>681.51779380699998</v>
      </c>
      <c r="AE2" s="21">
        <v>690.54406846899997</v>
      </c>
      <c r="AF2" s="21">
        <v>707.00637245300004</v>
      </c>
      <c r="AG2" s="21">
        <v>720.36050502600006</v>
      </c>
      <c r="AH2" s="21">
        <v>694.04686913299997</v>
      </c>
      <c r="AI2" s="21">
        <v>708.7273574269999</v>
      </c>
      <c r="AJ2" s="21">
        <v>744.25880173999997</v>
      </c>
      <c r="AK2" s="21">
        <v>850.43727976600007</v>
      </c>
      <c r="AL2" s="21">
        <v>804.5056445759999</v>
      </c>
      <c r="AM2" s="21">
        <v>702.33640622000007</v>
      </c>
      <c r="AN2" s="21">
        <v>745.36230624500013</v>
      </c>
      <c r="AO2" s="21">
        <v>890.75322697199999</v>
      </c>
      <c r="AP2" s="21">
        <v>890.91795143900003</v>
      </c>
      <c r="AQ2" s="21">
        <v>734.12080426300008</v>
      </c>
      <c r="AR2" s="21">
        <v>761.42231961999994</v>
      </c>
      <c r="AS2" s="21">
        <v>764.826399993</v>
      </c>
      <c r="AT2" s="21">
        <v>939.74358420299995</v>
      </c>
      <c r="AU2" s="21">
        <v>779.45492134000006</v>
      </c>
      <c r="AV2" s="21">
        <v>811.85265980700001</v>
      </c>
      <c r="AW2" s="21">
        <v>730.60140184099998</v>
      </c>
      <c r="AX2" s="21">
        <v>784.47254017</v>
      </c>
      <c r="AY2" s="21">
        <v>630.8556811819999</v>
      </c>
      <c r="AZ2" s="21">
        <v>1056.3024390750002</v>
      </c>
      <c r="BA2" s="21">
        <v>884.85361824799998</v>
      </c>
      <c r="BB2" s="21">
        <v>1061.3230152830001</v>
      </c>
      <c r="BC2" s="21">
        <v>774.75072046299988</v>
      </c>
      <c r="BD2" s="21">
        <v>901.46919761300001</v>
      </c>
      <c r="BE2" s="21">
        <v>915.8331071770001</v>
      </c>
      <c r="BF2" s="21">
        <v>819.66443758600008</v>
      </c>
      <c r="BG2" s="21">
        <v>964.51359225900001</v>
      </c>
      <c r="BH2" s="21">
        <v>1011.2920694810001</v>
      </c>
      <c r="BI2" s="21">
        <v>1007.037033724</v>
      </c>
      <c r="BJ2" s="21">
        <v>1034.4158915</v>
      </c>
      <c r="BK2" s="21">
        <v>1014.461690237</v>
      </c>
      <c r="BL2" s="21">
        <v>992.9383303149998</v>
      </c>
      <c r="BM2" s="21">
        <v>1052.792667809</v>
      </c>
      <c r="BN2" s="21">
        <v>1183.3630319040003</v>
      </c>
      <c r="BO2" s="21">
        <v>961.69130117399993</v>
      </c>
      <c r="BP2" s="21">
        <v>1086.4679564180001</v>
      </c>
      <c r="BQ2" s="21">
        <v>951.01629430699995</v>
      </c>
      <c r="BR2" s="21">
        <v>1090.1667557430001</v>
      </c>
      <c r="BS2" s="21">
        <v>989.88140071600003</v>
      </c>
      <c r="BT2" s="21">
        <v>1208.7742741490001</v>
      </c>
      <c r="BU2" s="21">
        <v>1153.1431435940003</v>
      </c>
      <c r="BV2" s="21">
        <v>940.72586127900001</v>
      </c>
      <c r="BW2" s="21">
        <v>936.44543586400005</v>
      </c>
      <c r="BX2" s="21">
        <v>985.46210423200012</v>
      </c>
      <c r="BY2" s="21">
        <v>1331.6446183040002</v>
      </c>
      <c r="BZ2" s="21">
        <v>1194.2228953949998</v>
      </c>
      <c r="CA2" s="21">
        <v>1000.8325818450002</v>
      </c>
      <c r="CB2" s="21">
        <v>1312.153936317</v>
      </c>
      <c r="CC2" s="21">
        <v>1082.5927304659999</v>
      </c>
      <c r="CD2" s="21">
        <v>1187.0916968199999</v>
      </c>
      <c r="CE2" s="21">
        <v>1106.391461536</v>
      </c>
      <c r="CF2" s="21">
        <v>1366.3515112499999</v>
      </c>
      <c r="CG2" s="21">
        <v>1434.017582059</v>
      </c>
      <c r="CH2" s="21">
        <v>1022.5046873049999</v>
      </c>
      <c r="CI2" s="21">
        <v>1140.62903729</v>
      </c>
      <c r="CJ2" s="21">
        <v>1091.1580805890001</v>
      </c>
      <c r="CK2" s="21">
        <v>1309.3331825929999</v>
      </c>
      <c r="CL2" s="21">
        <v>1536.6515740680002</v>
      </c>
      <c r="CM2" s="21">
        <v>1348.71413611</v>
      </c>
      <c r="CN2" s="21">
        <v>1329.911541814</v>
      </c>
      <c r="CO2" s="21">
        <v>1205.2821447450001</v>
      </c>
      <c r="CP2" s="21">
        <v>1396.3915642619995</v>
      </c>
      <c r="CQ2" s="21">
        <v>1404.4151720910002</v>
      </c>
      <c r="CR2" s="21">
        <v>1650.383432765</v>
      </c>
      <c r="CS2" s="21">
        <v>1806.7679813609998</v>
      </c>
      <c r="CT2" s="21">
        <v>1245.5600994060001</v>
      </c>
      <c r="CU2" s="21">
        <v>1457.4215451810001</v>
      </c>
      <c r="CV2" s="21">
        <v>1382.6243175969998</v>
      </c>
      <c r="CW2" s="21">
        <v>1533.9288576629999</v>
      </c>
      <c r="CX2" s="21">
        <v>1733.6074537179998</v>
      </c>
      <c r="CY2" s="21">
        <v>1404.5063388080002</v>
      </c>
      <c r="CZ2" s="21">
        <v>1754.4943487280002</v>
      </c>
      <c r="DA2" s="21">
        <v>1406.7394333329999</v>
      </c>
      <c r="DB2" s="21">
        <v>1609.0620551499999</v>
      </c>
      <c r="DC2" s="21">
        <v>1768.6679052320001</v>
      </c>
      <c r="DD2" s="21">
        <v>1818.2747747079995</v>
      </c>
      <c r="DE2" s="21">
        <v>1854.3482631790002</v>
      </c>
      <c r="DF2" s="21">
        <v>1528.9273107419999</v>
      </c>
      <c r="DG2" s="21">
        <v>1418.8697596560003</v>
      </c>
      <c r="DH2" s="21">
        <v>1591.9370650359999</v>
      </c>
      <c r="DI2" s="21">
        <v>1709.0081072089999</v>
      </c>
      <c r="DJ2" s="21">
        <v>2057.4732229590004</v>
      </c>
      <c r="DK2" s="21">
        <v>1527.7991969509999</v>
      </c>
      <c r="DL2" s="21">
        <v>1961.0089379989997</v>
      </c>
      <c r="DM2" s="21">
        <v>1575.3633269430002</v>
      </c>
      <c r="DN2" s="21">
        <v>1861.1546437239999</v>
      </c>
      <c r="DO2" s="21">
        <v>1611.8926080349997</v>
      </c>
      <c r="DP2" s="21">
        <v>1937.3664661090002</v>
      </c>
      <c r="DQ2" s="21">
        <v>1856.0509289409999</v>
      </c>
      <c r="DR2" s="21">
        <v>1764.9782131279999</v>
      </c>
      <c r="DS2" s="21">
        <v>1463.494532426</v>
      </c>
      <c r="DT2" s="21">
        <v>1597.124216744</v>
      </c>
      <c r="DU2" s="21">
        <v>2003.158739603</v>
      </c>
      <c r="DV2" s="21">
        <v>1989.8629354950003</v>
      </c>
      <c r="DW2" s="21">
        <v>1508.1503166129999</v>
      </c>
      <c r="DX2" s="21">
        <v>1917.4887134229998</v>
      </c>
      <c r="DY2" s="21">
        <v>1573.8166161500001</v>
      </c>
      <c r="DZ2" s="21">
        <v>1837.4117233030001</v>
      </c>
      <c r="EA2" s="21">
        <v>1649.0058624630001</v>
      </c>
      <c r="EB2" s="21">
        <v>1971.1223836290003</v>
      </c>
      <c r="EC2" s="21">
        <v>2173.4854480150002</v>
      </c>
      <c r="ED2" s="21">
        <v>1680.9850145109999</v>
      </c>
      <c r="EE2" s="21">
        <v>1797.5913346409998</v>
      </c>
      <c r="EF2" s="21">
        <v>1692.1851979160001</v>
      </c>
      <c r="EG2" s="21">
        <v>1970.9655661520001</v>
      </c>
      <c r="EH2" s="21">
        <v>2684.6358159880001</v>
      </c>
      <c r="EI2" s="21">
        <v>1779.2311088030001</v>
      </c>
      <c r="EJ2" s="21">
        <v>2337.0629295989997</v>
      </c>
      <c r="EK2" s="21">
        <v>1604.0229955969999</v>
      </c>
      <c r="EL2" s="21">
        <v>2327.5078221570002</v>
      </c>
      <c r="EM2" s="21">
        <v>2034.723694497</v>
      </c>
      <c r="EN2" s="21">
        <v>2056.4375578609997</v>
      </c>
      <c r="EO2" s="21">
        <v>2729.4965304900002</v>
      </c>
      <c r="EP2" s="21">
        <v>1832.895121606</v>
      </c>
      <c r="EQ2" s="21">
        <v>1930.551442508</v>
      </c>
      <c r="ER2" s="21">
        <v>1888.5530510630001</v>
      </c>
      <c r="ES2" s="21">
        <v>2233.7868660610002</v>
      </c>
      <c r="ET2" s="21">
        <v>2646.1948248070003</v>
      </c>
      <c r="EU2" s="21">
        <v>2176.1483012119998</v>
      </c>
      <c r="EV2" s="21">
        <v>2170.085056034</v>
      </c>
      <c r="EW2" s="21">
        <v>1938.667023795</v>
      </c>
      <c r="EX2" s="21">
        <v>2165.9943171030004</v>
      </c>
      <c r="EY2" s="21">
        <v>2145.2125293100003</v>
      </c>
      <c r="EZ2" s="21">
        <v>2300.4276812950002</v>
      </c>
      <c r="FA2" s="21">
        <v>3136.4019166419994</v>
      </c>
      <c r="FB2" s="21">
        <v>2104.3460953160002</v>
      </c>
      <c r="FC2" s="21">
        <v>2306.6031194690004</v>
      </c>
      <c r="FD2" s="21">
        <v>1934.983097631</v>
      </c>
      <c r="FE2" s="21">
        <v>2256.5545515949998</v>
      </c>
      <c r="FF2" s="21">
        <v>2503.5869280660004</v>
      </c>
      <c r="FG2" s="21">
        <v>2120.2597852710001</v>
      </c>
      <c r="FH2" s="21">
        <v>2284.9892885099998</v>
      </c>
      <c r="FI2" s="21">
        <v>2562.3335442820003</v>
      </c>
      <c r="FJ2" s="21">
        <v>2603.2254022309999</v>
      </c>
      <c r="FK2" s="21">
        <v>2133.5261382980002</v>
      </c>
      <c r="FL2" s="21">
        <v>2725.3397179019998</v>
      </c>
      <c r="FM2" s="21">
        <v>2899.8520721770001</v>
      </c>
      <c r="FN2" s="21">
        <v>2141.1619544939999</v>
      </c>
      <c r="FO2" s="21">
        <v>2200.0980520189996</v>
      </c>
      <c r="FP2" s="21">
        <v>2254.6683968279999</v>
      </c>
      <c r="FQ2" s="21">
        <v>2364.3265376579998</v>
      </c>
      <c r="FR2" s="21">
        <v>2905.0983682309998</v>
      </c>
      <c r="FS2" s="21">
        <v>2359.3407100130003</v>
      </c>
      <c r="FT2" s="21">
        <v>2713.7011405139997</v>
      </c>
      <c r="FU2" s="21">
        <v>2707.996534767</v>
      </c>
      <c r="FV2" s="21">
        <v>2767.9576947770001</v>
      </c>
      <c r="FW2" s="21">
        <v>2479.5354445960002</v>
      </c>
      <c r="FX2" s="21">
        <v>2803.2314082930002</v>
      </c>
      <c r="FY2" s="21">
        <v>3398.1417386799999</v>
      </c>
      <c r="FZ2" s="21">
        <v>2401.1146874629999</v>
      </c>
      <c r="GA2" s="21">
        <v>2027.9859141850002</v>
      </c>
      <c r="GB2" s="22">
        <v>2240.7732797899998</v>
      </c>
      <c r="GC2" s="22">
        <v>3392.805268524</v>
      </c>
      <c r="GD2" s="22">
        <v>2948.7626089170003</v>
      </c>
      <c r="GE2" s="22">
        <v>2517.4616609350001</v>
      </c>
      <c r="GF2" s="22">
        <v>2973.0019349989998</v>
      </c>
      <c r="GG2" s="22">
        <v>2524.7144223740002</v>
      </c>
      <c r="GH2" s="22">
        <v>3026.0649021610002</v>
      </c>
      <c r="GI2" s="22">
        <v>2674.732613873</v>
      </c>
      <c r="GJ2" s="22">
        <v>3087.3055812719999</v>
      </c>
      <c r="GK2" s="22">
        <v>2719.2375421890001</v>
      </c>
      <c r="GL2" s="23">
        <v>2742.7452852879996</v>
      </c>
      <c r="GM2" s="23">
        <v>2658.1769129149998</v>
      </c>
      <c r="GN2" s="23">
        <v>2467.6436359110003</v>
      </c>
      <c r="GO2" s="23">
        <v>3135.5129040580005</v>
      </c>
      <c r="GP2" s="23">
        <v>3079.8704872479998</v>
      </c>
      <c r="GQ2" s="23">
        <v>2411.384509514</v>
      </c>
      <c r="GR2" s="23">
        <v>3081.9124922010001</v>
      </c>
      <c r="GS2" s="23">
        <v>2503.4922681429998</v>
      </c>
      <c r="GT2" s="23">
        <v>2954.8947663270001</v>
      </c>
      <c r="GU2" s="23">
        <v>2778.2621795190003</v>
      </c>
      <c r="GV2" s="23">
        <v>3071.9020799589998</v>
      </c>
      <c r="GW2" s="23">
        <v>2746.920724435</v>
      </c>
      <c r="GX2" s="23">
        <v>2524.8434527580002</v>
      </c>
      <c r="GY2" s="23">
        <v>2807.4076824540002</v>
      </c>
      <c r="GZ2" s="23">
        <v>2723.141181985</v>
      </c>
      <c r="HA2" s="23">
        <v>1667.9836523859999</v>
      </c>
      <c r="HB2" s="23">
        <v>2052.2931209390003</v>
      </c>
      <c r="HC2" s="23">
        <v>2584.3721989320002</v>
      </c>
      <c r="HD2" s="23">
        <v>2819.5321466220003</v>
      </c>
      <c r="HE2" s="23">
        <v>2896.0443505349999</v>
      </c>
      <c r="HF2" s="23"/>
      <c r="HG2" s="23"/>
      <c r="HH2" s="23"/>
      <c r="HI2" s="23"/>
    </row>
    <row r="3" spans="1:217" s="26" customFormat="1" ht="6.75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</row>
    <row r="4" spans="1:217" s="26" customFormat="1" ht="12.75">
      <c r="A4" s="26" t="s">
        <v>49</v>
      </c>
      <c r="B4" s="27">
        <v>244.56120121400002</v>
      </c>
      <c r="C4" s="27">
        <v>230.05253460700001</v>
      </c>
      <c r="D4" s="27">
        <v>241.67726519700003</v>
      </c>
      <c r="E4" s="27">
        <v>298.08057372799999</v>
      </c>
      <c r="F4" s="27">
        <v>309.41371962699998</v>
      </c>
      <c r="G4" s="27">
        <v>246.446525796</v>
      </c>
      <c r="H4" s="27">
        <v>324.57511357099997</v>
      </c>
      <c r="I4" s="27">
        <v>289.968789646</v>
      </c>
      <c r="J4" s="27">
        <v>366.28685517099996</v>
      </c>
      <c r="K4" s="27">
        <v>380.53570590499999</v>
      </c>
      <c r="L4" s="27">
        <v>370.65979374200015</v>
      </c>
      <c r="M4" s="27">
        <v>373.56272912899988</v>
      </c>
      <c r="N4" s="27">
        <v>319.07274518400004</v>
      </c>
      <c r="O4" s="27">
        <v>305.41434803599998</v>
      </c>
      <c r="P4" s="27">
        <v>364.64744979199997</v>
      </c>
      <c r="Q4" s="27">
        <v>413.53998708300003</v>
      </c>
      <c r="R4" s="27">
        <v>482.40294374600001</v>
      </c>
      <c r="S4" s="27">
        <v>402.59554470000006</v>
      </c>
      <c r="T4" s="27">
        <v>445.95218229699992</v>
      </c>
      <c r="U4" s="27">
        <v>409.029390831</v>
      </c>
      <c r="V4" s="27">
        <v>469.32177894300003</v>
      </c>
      <c r="W4" s="27">
        <v>399.87199042099991</v>
      </c>
      <c r="X4" s="27">
        <v>502.65544425099995</v>
      </c>
      <c r="Y4" s="27">
        <v>414.66157452599998</v>
      </c>
      <c r="Z4" s="27">
        <v>398.58852087000002</v>
      </c>
      <c r="AA4" s="27">
        <v>368.37826086399997</v>
      </c>
      <c r="AB4" s="27">
        <v>342.57123041199998</v>
      </c>
      <c r="AC4" s="27">
        <v>516.28903292799998</v>
      </c>
      <c r="AD4" s="27">
        <v>500.46098781499995</v>
      </c>
      <c r="AE4" s="27">
        <v>412.19238995699999</v>
      </c>
      <c r="AF4" s="27">
        <v>522.20681527900001</v>
      </c>
      <c r="AG4" s="27">
        <v>440.600099</v>
      </c>
      <c r="AH4" s="27">
        <v>475.719881939</v>
      </c>
      <c r="AI4" s="27">
        <v>472.54109064399995</v>
      </c>
      <c r="AJ4" s="27">
        <v>504.753636895</v>
      </c>
      <c r="AK4" s="27">
        <v>515.92080450700007</v>
      </c>
      <c r="AL4" s="27">
        <v>494.29820367999997</v>
      </c>
      <c r="AM4" s="27">
        <v>436.61665817900001</v>
      </c>
      <c r="AN4" s="27">
        <v>507.14859481000002</v>
      </c>
      <c r="AO4" s="27">
        <v>631.65630699999997</v>
      </c>
      <c r="AP4" s="27">
        <v>584.03412166600003</v>
      </c>
      <c r="AQ4" s="27">
        <v>473.32508144799999</v>
      </c>
      <c r="AR4" s="27">
        <v>554.49492691500006</v>
      </c>
      <c r="AS4" s="27">
        <v>479.92949148100007</v>
      </c>
      <c r="AT4" s="27">
        <v>541.64970596000001</v>
      </c>
      <c r="AU4" s="27">
        <v>507.00432923900007</v>
      </c>
      <c r="AV4" s="27">
        <v>596.62460225700011</v>
      </c>
      <c r="AW4" s="27">
        <v>487.239093099</v>
      </c>
      <c r="AX4" s="27">
        <v>553.29392444600001</v>
      </c>
      <c r="AY4" s="27">
        <v>413.206984955</v>
      </c>
      <c r="AZ4" s="27">
        <v>567.68530295200003</v>
      </c>
      <c r="BA4" s="27">
        <v>644.95711485499999</v>
      </c>
      <c r="BB4" s="27">
        <v>661.87865591600007</v>
      </c>
      <c r="BC4" s="27">
        <v>546.80658852699992</v>
      </c>
      <c r="BD4" s="27">
        <v>634.25544896999997</v>
      </c>
      <c r="BE4" s="27">
        <v>566.00638478600001</v>
      </c>
      <c r="BF4" s="27">
        <v>555.50086982500011</v>
      </c>
      <c r="BG4" s="27">
        <v>570.05181706600001</v>
      </c>
      <c r="BH4" s="27">
        <v>717.00717437000003</v>
      </c>
      <c r="BI4" s="27">
        <v>587.98889464900003</v>
      </c>
      <c r="BJ4" s="27">
        <v>632.44239380300007</v>
      </c>
      <c r="BK4" s="27">
        <v>679.00750469399998</v>
      </c>
      <c r="BL4" s="27">
        <v>559.97745219599983</v>
      </c>
      <c r="BM4" s="27">
        <v>807.30564953699991</v>
      </c>
      <c r="BN4" s="27">
        <v>873.9174724730002</v>
      </c>
      <c r="BO4" s="27">
        <v>676.90941695999993</v>
      </c>
      <c r="BP4" s="27">
        <v>891.52400867000006</v>
      </c>
      <c r="BQ4" s="27">
        <v>613.925693701</v>
      </c>
      <c r="BR4" s="27">
        <v>823.64789551600006</v>
      </c>
      <c r="BS4" s="27">
        <v>691.49721565699997</v>
      </c>
      <c r="BT4" s="27">
        <v>760.10001637400012</v>
      </c>
      <c r="BU4" s="27">
        <v>645.72799703200008</v>
      </c>
      <c r="BV4" s="27">
        <v>601.88127809000002</v>
      </c>
      <c r="BW4" s="27">
        <v>600.30466626600003</v>
      </c>
      <c r="BX4" s="27">
        <v>617.58399484600011</v>
      </c>
      <c r="BY4" s="27">
        <v>933.51964514700012</v>
      </c>
      <c r="BZ4" s="27">
        <v>882.32904381099991</v>
      </c>
      <c r="CA4" s="27">
        <v>674.53243418700004</v>
      </c>
      <c r="CB4" s="27">
        <v>881.5233513039999</v>
      </c>
      <c r="CC4" s="27">
        <v>732.84315531899995</v>
      </c>
      <c r="CD4" s="27">
        <v>842.44592483799988</v>
      </c>
      <c r="CE4" s="27">
        <v>718.75029327699997</v>
      </c>
      <c r="CF4" s="27">
        <v>928.69077156799995</v>
      </c>
      <c r="CG4" s="27">
        <v>792.41945488299996</v>
      </c>
      <c r="CH4" s="27">
        <v>744.69009540799993</v>
      </c>
      <c r="CI4" s="27">
        <v>766.95696353599999</v>
      </c>
      <c r="CJ4" s="27">
        <v>737.63733482300006</v>
      </c>
      <c r="CK4" s="27">
        <v>1007.7679216779999</v>
      </c>
      <c r="CL4" s="27">
        <v>1108.037842468</v>
      </c>
      <c r="CM4" s="27">
        <v>958.92734579599994</v>
      </c>
      <c r="CN4" s="27">
        <v>1008.3764489549999</v>
      </c>
      <c r="CO4" s="27">
        <v>868.84863660800011</v>
      </c>
      <c r="CP4" s="27">
        <v>1065.8060441059997</v>
      </c>
      <c r="CQ4" s="27">
        <v>965.12296362400014</v>
      </c>
      <c r="CR4" s="27">
        <v>1127.6291721819998</v>
      </c>
      <c r="CS4" s="27">
        <v>1045.7266441429999</v>
      </c>
      <c r="CT4" s="27">
        <v>938.41699295499996</v>
      </c>
      <c r="CU4" s="27">
        <v>794.28355826899997</v>
      </c>
      <c r="CV4" s="27">
        <v>1021.1500922389999</v>
      </c>
      <c r="CW4" s="27">
        <v>1154.8727038649999</v>
      </c>
      <c r="CX4" s="27">
        <v>1293.9471212219999</v>
      </c>
      <c r="CY4" s="27">
        <v>1053.815826925</v>
      </c>
      <c r="CZ4" s="27">
        <v>1257.7242505410002</v>
      </c>
      <c r="DA4" s="27">
        <v>957.01615771699994</v>
      </c>
      <c r="DB4" s="27">
        <v>1312.2867475339999</v>
      </c>
      <c r="DC4" s="27">
        <v>1049.58146513</v>
      </c>
      <c r="DD4" s="27">
        <v>1305.0722704309997</v>
      </c>
      <c r="DE4" s="27">
        <v>1072.5659272160001</v>
      </c>
      <c r="DF4" s="27">
        <v>992.61145079999994</v>
      </c>
      <c r="DG4" s="27">
        <v>884.69023375400002</v>
      </c>
      <c r="DH4" s="27">
        <v>951.83542906599996</v>
      </c>
      <c r="DI4" s="27">
        <v>1244.2991604969998</v>
      </c>
      <c r="DJ4" s="27">
        <v>1465.6840463270003</v>
      </c>
      <c r="DK4" s="27">
        <v>987.14926516100013</v>
      </c>
      <c r="DL4" s="27">
        <v>1465.6551326559998</v>
      </c>
      <c r="DM4" s="27">
        <v>1069.1175974400001</v>
      </c>
      <c r="DN4" s="27">
        <v>1320.101336748</v>
      </c>
      <c r="DO4" s="27">
        <v>1070.14765579</v>
      </c>
      <c r="DP4" s="27">
        <v>1394.0275933280002</v>
      </c>
      <c r="DQ4" s="27">
        <v>1025.2848621779999</v>
      </c>
      <c r="DR4" s="27">
        <v>1146.5381812419998</v>
      </c>
      <c r="DS4" s="27">
        <v>888.26109346099997</v>
      </c>
      <c r="DT4" s="27">
        <v>935.33965503699994</v>
      </c>
      <c r="DU4" s="27">
        <v>1427.5286041029999</v>
      </c>
      <c r="DV4" s="27">
        <v>1510.8658002620002</v>
      </c>
      <c r="DW4" s="27">
        <v>1052.9011401569999</v>
      </c>
      <c r="DX4" s="27">
        <v>1382.9585258299999</v>
      </c>
      <c r="DY4" s="27">
        <v>1122.135582982</v>
      </c>
      <c r="DZ4" s="27">
        <v>1413.9699052819999</v>
      </c>
      <c r="EA4" s="27">
        <v>1154.1782461719999</v>
      </c>
      <c r="EB4" s="27">
        <v>1540.4480582150002</v>
      </c>
      <c r="EC4" s="27">
        <v>1214.4530106960001</v>
      </c>
      <c r="ED4" s="27">
        <v>1305.1491771819999</v>
      </c>
      <c r="EE4" s="27">
        <v>1045.6991384299999</v>
      </c>
      <c r="EF4" s="27">
        <v>1246.127121191</v>
      </c>
      <c r="EG4" s="27">
        <v>1567.3032966609999</v>
      </c>
      <c r="EH4" s="27">
        <v>1783.899321824</v>
      </c>
      <c r="EI4" s="27">
        <v>1346.3023710800001</v>
      </c>
      <c r="EJ4" s="27">
        <v>1720.9755525539999</v>
      </c>
      <c r="EK4" s="27">
        <v>1201.4531707429999</v>
      </c>
      <c r="EL4" s="27">
        <v>1665.1637764650002</v>
      </c>
      <c r="EM4" s="27">
        <v>1563.2321440559999</v>
      </c>
      <c r="EN4" s="27">
        <v>1596.1574623889996</v>
      </c>
      <c r="EO4" s="27">
        <v>1443.5331820379999</v>
      </c>
      <c r="EP4" s="27">
        <v>1412.7278108</v>
      </c>
      <c r="EQ4" s="27">
        <v>1123.0507655489998</v>
      </c>
      <c r="ER4" s="27">
        <v>1410.80461655</v>
      </c>
      <c r="ES4" s="27">
        <v>1778.6221536210003</v>
      </c>
      <c r="ET4" s="27">
        <v>1733.7850264000001</v>
      </c>
      <c r="EU4" s="27">
        <v>1396.3960154700001</v>
      </c>
      <c r="EV4" s="27">
        <v>1714.310288115</v>
      </c>
      <c r="EW4" s="27">
        <v>1256.805842538</v>
      </c>
      <c r="EX4" s="27">
        <v>1678.6854614480001</v>
      </c>
      <c r="EY4" s="27">
        <v>1495.9204339930002</v>
      </c>
      <c r="EZ4" s="27">
        <v>1607.9201815440001</v>
      </c>
      <c r="FA4" s="27">
        <v>1477.9739403059998</v>
      </c>
      <c r="FB4" s="27">
        <v>1480.6029829730003</v>
      </c>
      <c r="FC4" s="27">
        <v>1174.9446919240002</v>
      </c>
      <c r="FD4" s="27">
        <v>1430.0887423899999</v>
      </c>
      <c r="FE4" s="27">
        <v>1844.0988859499998</v>
      </c>
      <c r="FF4" s="27">
        <v>1969.6048592640002</v>
      </c>
      <c r="FG4" s="27">
        <v>1500.097742528</v>
      </c>
      <c r="FH4" s="27">
        <v>1714.3391355309998</v>
      </c>
      <c r="FI4" s="27">
        <v>1482.3576739470002</v>
      </c>
      <c r="FJ4" s="27">
        <v>1845.3134970729998</v>
      </c>
      <c r="FK4" s="27">
        <v>1488.2489533030002</v>
      </c>
      <c r="FL4" s="27">
        <v>1797.2749911819999</v>
      </c>
      <c r="FM4" s="27">
        <v>1749.5577051760001</v>
      </c>
      <c r="FN4" s="27">
        <v>1583.465110435</v>
      </c>
      <c r="FO4" s="27">
        <v>1265.1477241479997</v>
      </c>
      <c r="FP4" s="27">
        <v>1484.5084198729999</v>
      </c>
      <c r="FQ4" s="27">
        <v>1931.2282003149996</v>
      </c>
      <c r="FR4" s="27">
        <v>2236.2742928339999</v>
      </c>
      <c r="FS4" s="27">
        <v>1733.5269632600002</v>
      </c>
      <c r="FT4" s="27">
        <v>2042.855915714</v>
      </c>
      <c r="FU4" s="27">
        <v>1800.97055525</v>
      </c>
      <c r="FV4" s="27">
        <v>2079.0193831430001</v>
      </c>
      <c r="FW4" s="27">
        <v>1781.0159855190004</v>
      </c>
      <c r="FX4" s="27">
        <v>2053.4077942439999</v>
      </c>
      <c r="FY4" s="27">
        <v>1738.8577076250001</v>
      </c>
      <c r="FZ4" s="27">
        <v>1871.333058213</v>
      </c>
      <c r="GA4" s="27">
        <v>1435.5580623780002</v>
      </c>
      <c r="GB4" s="27">
        <v>1614.228633106</v>
      </c>
      <c r="GC4" s="27">
        <v>2293.0501114809999</v>
      </c>
      <c r="GD4" s="27">
        <v>2192.3581292130002</v>
      </c>
      <c r="GE4" s="27">
        <v>1811.740080672</v>
      </c>
      <c r="GF4" s="27">
        <v>2204.795635163</v>
      </c>
      <c r="GG4" s="27">
        <v>1882.3286826670001</v>
      </c>
      <c r="GH4" s="27">
        <v>2137.6591953810002</v>
      </c>
      <c r="GI4" s="27">
        <v>1921.410220621</v>
      </c>
      <c r="GJ4" s="27">
        <v>2181.2215812110003</v>
      </c>
      <c r="GK4" s="27">
        <v>1591.3879080030001</v>
      </c>
      <c r="GL4" s="28">
        <v>1849.3213820919998</v>
      </c>
      <c r="GM4" s="28">
        <v>1595.0464208089998</v>
      </c>
      <c r="GN4" s="28">
        <v>1795.8413952830003</v>
      </c>
      <c r="GO4" s="28">
        <v>2213.9597514760003</v>
      </c>
      <c r="GP4" s="28">
        <v>2279.4688096239997</v>
      </c>
      <c r="GQ4" s="28">
        <v>1694.7280754199999</v>
      </c>
      <c r="GR4" s="28">
        <v>2286.967802267</v>
      </c>
      <c r="GS4" s="28">
        <v>1808.9843542450001</v>
      </c>
      <c r="GT4" s="28">
        <v>2227.9516970340001</v>
      </c>
      <c r="GU4" s="28">
        <v>1947.9167391440001</v>
      </c>
      <c r="GV4" s="28">
        <v>2158.001089718</v>
      </c>
      <c r="GW4" s="28">
        <v>1719.0685062780001</v>
      </c>
      <c r="GX4" s="28">
        <v>1987.3436059480002</v>
      </c>
      <c r="GY4" s="28">
        <v>1689.8486228659999</v>
      </c>
      <c r="GZ4" s="28">
        <v>1670.3117746889998</v>
      </c>
      <c r="HA4" s="28">
        <v>1075.7768779329999</v>
      </c>
      <c r="HB4" s="28">
        <v>1448.0158133360003</v>
      </c>
      <c r="HC4" s="28">
        <v>1794.1035551259999</v>
      </c>
      <c r="HD4" s="28">
        <v>2124.0135847320003</v>
      </c>
      <c r="HE4" s="28">
        <v>1917.4523367229999</v>
      </c>
      <c r="HF4" s="28"/>
      <c r="HG4" s="28"/>
      <c r="HH4" s="28"/>
      <c r="HI4" s="28"/>
    </row>
    <row r="5" spans="1:217">
      <c r="A5" s="29" t="s">
        <v>50</v>
      </c>
      <c r="B5" s="2">
        <v>4.9185127230000001</v>
      </c>
      <c r="C5" s="2">
        <v>4.815990073</v>
      </c>
      <c r="D5" s="2">
        <v>12.820834074</v>
      </c>
      <c r="E5" s="2">
        <v>7.2059620740000003</v>
      </c>
      <c r="F5" s="2">
        <v>19.082454722999998</v>
      </c>
      <c r="G5" s="2">
        <v>8.2558646519999996</v>
      </c>
      <c r="H5" s="2">
        <v>10.076614793000001</v>
      </c>
      <c r="I5" s="2">
        <v>14.777370020000001</v>
      </c>
      <c r="J5" s="2">
        <v>15.011132691999999</v>
      </c>
      <c r="K5" s="2">
        <v>30.270592757999999</v>
      </c>
      <c r="L5" s="2">
        <v>367.39232796800002</v>
      </c>
      <c r="M5" s="2">
        <v>66.883475621999992</v>
      </c>
      <c r="N5" s="2">
        <v>7.9776969939999995</v>
      </c>
      <c r="O5" s="2">
        <v>10.778831436000001</v>
      </c>
      <c r="P5" s="2">
        <v>97.130089213000005</v>
      </c>
      <c r="Q5" s="2">
        <v>35.26444869800001</v>
      </c>
      <c r="R5" s="2">
        <v>42.482453081000003</v>
      </c>
      <c r="S5" s="2">
        <v>23.589444705999998</v>
      </c>
      <c r="T5" s="2">
        <v>265.582122857</v>
      </c>
      <c r="U5" s="2">
        <v>35.215966416000001</v>
      </c>
      <c r="V5" s="2">
        <v>142.086412739</v>
      </c>
      <c r="W5" s="2">
        <v>35.338470756999996</v>
      </c>
      <c r="X5" s="2">
        <v>107.071776594</v>
      </c>
      <c r="Y5" s="2">
        <v>98.821790281999995</v>
      </c>
      <c r="Z5" s="2">
        <v>36.798416928000002</v>
      </c>
      <c r="AA5" s="2">
        <v>35.408271790000001</v>
      </c>
      <c r="AB5" s="2">
        <v>32.096818798999998</v>
      </c>
      <c r="AC5" s="2">
        <v>157.984339132</v>
      </c>
      <c r="AD5" s="2">
        <v>123.16071422399999</v>
      </c>
      <c r="AE5" s="2">
        <v>81.588600554999999</v>
      </c>
      <c r="AF5" s="2">
        <v>141.27151272200001</v>
      </c>
      <c r="AG5" s="2">
        <v>46.721308168</v>
      </c>
      <c r="AH5" s="2">
        <v>87.382297398000006</v>
      </c>
      <c r="AI5" s="2">
        <v>32.902341482999994</v>
      </c>
      <c r="AJ5" s="2">
        <v>73.982703490000006</v>
      </c>
      <c r="AK5" s="2">
        <v>79.982809431999996</v>
      </c>
      <c r="AL5" s="2">
        <v>38.273550945999993</v>
      </c>
      <c r="AM5" s="2">
        <v>26.947120558000002</v>
      </c>
      <c r="AN5" s="2">
        <v>65.960687452000016</v>
      </c>
      <c r="AO5" s="2">
        <v>197.15226777399997</v>
      </c>
      <c r="AP5" s="2">
        <v>113.40984618800002</v>
      </c>
      <c r="AQ5" s="2">
        <v>64.099105351999995</v>
      </c>
      <c r="AR5" s="2">
        <v>111.847236974</v>
      </c>
      <c r="AS5" s="2">
        <v>80.217981739999999</v>
      </c>
      <c r="AT5" s="2">
        <v>99.789183729000001</v>
      </c>
      <c r="AU5" s="2">
        <v>59.813443737</v>
      </c>
      <c r="AV5" s="2">
        <v>110.90300636000001</v>
      </c>
      <c r="AW5" s="2">
        <v>49.599068362999994</v>
      </c>
      <c r="AX5" s="2">
        <v>38.762011520999991</v>
      </c>
      <c r="AY5" s="2">
        <v>8.1267408279999991</v>
      </c>
      <c r="AZ5" s="2">
        <v>9.3844839230000012</v>
      </c>
      <c r="BA5" s="2">
        <v>4.875766874</v>
      </c>
      <c r="BB5" s="2">
        <v>12.221376746000001</v>
      </c>
      <c r="BC5" s="2">
        <v>9.4494498740000008</v>
      </c>
      <c r="BD5" s="2">
        <v>523.449398481</v>
      </c>
      <c r="BE5" s="2">
        <v>158.21277782400003</v>
      </c>
      <c r="BF5" s="2">
        <v>209.60784365800001</v>
      </c>
      <c r="BG5" s="2">
        <v>10.041369096</v>
      </c>
      <c r="BH5" s="2">
        <v>50.744751397000002</v>
      </c>
      <c r="BI5" s="2">
        <v>193.64865981</v>
      </c>
      <c r="BJ5" s="2">
        <v>45.857507801000004</v>
      </c>
      <c r="BK5" s="2">
        <v>9.1788278330000015</v>
      </c>
      <c r="BL5" s="2">
        <v>33.872102403999996</v>
      </c>
      <c r="BM5" s="2">
        <v>40.171385293000007</v>
      </c>
      <c r="BN5" s="2">
        <v>526.84864441600007</v>
      </c>
      <c r="BO5" s="2">
        <v>9.9382261439999997</v>
      </c>
      <c r="BP5" s="2">
        <v>15.830126229000001</v>
      </c>
      <c r="BQ5" s="2">
        <v>122.895675004</v>
      </c>
      <c r="BR5" s="2">
        <v>9.5434347199999987</v>
      </c>
      <c r="BS5" s="2">
        <v>290.21866282799999</v>
      </c>
      <c r="BT5" s="2">
        <v>235.92126480000002</v>
      </c>
      <c r="BU5" s="2">
        <v>232.90655572599999</v>
      </c>
      <c r="BV5" s="2">
        <v>4.7666443540000003</v>
      </c>
      <c r="BW5" s="2">
        <v>89.514432284999998</v>
      </c>
      <c r="BX5" s="2">
        <v>69.137855505000019</v>
      </c>
      <c r="BY5" s="2">
        <v>464.515736248</v>
      </c>
      <c r="BZ5" s="2">
        <v>390.75553852100001</v>
      </c>
      <c r="CA5" s="2">
        <v>104.83913022599999</v>
      </c>
      <c r="CB5" s="2">
        <v>301.18493088799994</v>
      </c>
      <c r="CC5" s="2">
        <v>132.46861965099998</v>
      </c>
      <c r="CD5" s="2">
        <v>261.16570077599999</v>
      </c>
      <c r="CE5" s="2">
        <v>56.872516940000011</v>
      </c>
      <c r="CF5" s="2">
        <v>257.22810950600001</v>
      </c>
      <c r="CG5" s="2">
        <v>60.497742285999998</v>
      </c>
      <c r="CH5" s="2">
        <v>73.547767714000017</v>
      </c>
      <c r="CI5" s="2">
        <v>62.316473916</v>
      </c>
      <c r="CJ5" s="2">
        <v>63.929029241999999</v>
      </c>
      <c r="CK5" s="2">
        <v>297.56848282699997</v>
      </c>
      <c r="CL5" s="2">
        <v>330.43056903700005</v>
      </c>
      <c r="CM5" s="2">
        <v>221.84439372899996</v>
      </c>
      <c r="CN5" s="2">
        <v>282.78444873599994</v>
      </c>
      <c r="CO5" s="2">
        <v>76.752369165000019</v>
      </c>
      <c r="CP5" s="2">
        <v>290.50870222199995</v>
      </c>
      <c r="CQ5" s="2">
        <v>66.937242273999999</v>
      </c>
      <c r="CR5" s="2">
        <v>266.43195127500002</v>
      </c>
      <c r="CS5" s="2">
        <v>62.548394086999998</v>
      </c>
      <c r="CT5" s="2">
        <v>78.721824815000005</v>
      </c>
      <c r="CU5" s="2">
        <v>56.837241127999995</v>
      </c>
      <c r="CV5" s="2">
        <v>104.46437628199999</v>
      </c>
      <c r="CW5" s="2">
        <v>335.89694602899993</v>
      </c>
      <c r="CX5" s="2">
        <v>413.80554340800001</v>
      </c>
      <c r="CY5" s="2">
        <v>168.76127647999999</v>
      </c>
      <c r="CZ5" s="2">
        <v>474.64368673500002</v>
      </c>
      <c r="DA5" s="2">
        <v>64.925393762000013</v>
      </c>
      <c r="DB5" s="2">
        <v>400.95854959300004</v>
      </c>
      <c r="DC5" s="2">
        <v>77.559277908000013</v>
      </c>
      <c r="DD5" s="2">
        <v>357.98361570000003</v>
      </c>
      <c r="DE5" s="2">
        <v>76.051381230999993</v>
      </c>
      <c r="DF5" s="2">
        <v>87.397015224000015</v>
      </c>
      <c r="DG5" s="2">
        <v>51.786166336000015</v>
      </c>
      <c r="DH5" s="2">
        <v>104.44221938000001</v>
      </c>
      <c r="DI5" s="2">
        <v>384.41363091599993</v>
      </c>
      <c r="DJ5" s="2">
        <v>489.61051050500009</v>
      </c>
      <c r="DK5" s="2">
        <v>175.05419437899999</v>
      </c>
      <c r="DL5" s="2">
        <v>539.40389321400005</v>
      </c>
      <c r="DM5" s="2">
        <v>121.81650904399999</v>
      </c>
      <c r="DN5" s="2">
        <v>412.43222138700008</v>
      </c>
      <c r="DO5" s="2">
        <v>82.927489279999989</v>
      </c>
      <c r="DP5" s="2">
        <v>372.78548379000011</v>
      </c>
      <c r="DQ5" s="2">
        <v>81.169739320000005</v>
      </c>
      <c r="DR5" s="2">
        <v>106.33461259200003</v>
      </c>
      <c r="DS5" s="2">
        <v>61.969506587999994</v>
      </c>
      <c r="DT5" s="2">
        <v>126.72827473899999</v>
      </c>
      <c r="DU5" s="2">
        <v>446.91702605400002</v>
      </c>
      <c r="DV5" s="2">
        <v>506.85047870099999</v>
      </c>
      <c r="DW5" s="2">
        <v>151.90594317600002</v>
      </c>
      <c r="DX5" s="2">
        <v>479.72092897499999</v>
      </c>
      <c r="DY5" s="2">
        <v>94.622766800000008</v>
      </c>
      <c r="DZ5" s="2">
        <v>401.78978142800003</v>
      </c>
      <c r="EA5" s="2">
        <v>99.531173057999993</v>
      </c>
      <c r="EB5" s="2">
        <v>535.67991580399985</v>
      </c>
      <c r="EC5" s="2">
        <v>85.525923934999994</v>
      </c>
      <c r="ED5" s="2">
        <v>178.24839800800001</v>
      </c>
      <c r="EE5" s="2">
        <v>67.470920308999993</v>
      </c>
      <c r="EF5" s="2">
        <v>163.46373297900001</v>
      </c>
      <c r="EG5" s="2">
        <v>464.51272854799998</v>
      </c>
      <c r="EH5" s="2">
        <v>676.40899777999994</v>
      </c>
      <c r="EI5" s="2">
        <v>228.671315593</v>
      </c>
      <c r="EJ5" s="2">
        <v>506.59523839600001</v>
      </c>
      <c r="EK5" s="2">
        <v>94.110853944999988</v>
      </c>
      <c r="EL5" s="2">
        <v>476.895001127</v>
      </c>
      <c r="EM5" s="2">
        <v>230.39088688299998</v>
      </c>
      <c r="EN5" s="2">
        <v>461.39673846700003</v>
      </c>
      <c r="EO5" s="2">
        <v>133.38418099100002</v>
      </c>
      <c r="EP5" s="2">
        <v>199.311711645</v>
      </c>
      <c r="EQ5" s="2">
        <v>107.41655665299999</v>
      </c>
      <c r="ER5" s="2">
        <v>219.71078577899999</v>
      </c>
      <c r="ES5" s="2">
        <v>637.36132985300014</v>
      </c>
      <c r="ET5" s="2">
        <v>625.11057184599997</v>
      </c>
      <c r="EU5" s="2">
        <v>232.01283770499998</v>
      </c>
      <c r="EV5" s="2">
        <v>492.41383956300001</v>
      </c>
      <c r="EW5" s="2">
        <v>110.63168988499999</v>
      </c>
      <c r="EX5" s="2">
        <v>443.19362851199998</v>
      </c>
      <c r="EY5" s="2">
        <v>258.66766363599999</v>
      </c>
      <c r="EZ5" s="2">
        <v>431.24183805500007</v>
      </c>
      <c r="FA5" s="2">
        <v>160.46274441600002</v>
      </c>
      <c r="FB5" s="2">
        <v>227.92090875399998</v>
      </c>
      <c r="FC5" s="2">
        <v>84.652676654000004</v>
      </c>
      <c r="FD5" s="2">
        <v>228.90874932100002</v>
      </c>
      <c r="FE5" s="2">
        <v>657.57474274599997</v>
      </c>
      <c r="FF5" s="2">
        <v>730.77933325499998</v>
      </c>
      <c r="FG5" s="2">
        <v>272.66690754199999</v>
      </c>
      <c r="FH5" s="2">
        <v>554.07650074799994</v>
      </c>
      <c r="FI5" s="2">
        <v>155.02199874900001</v>
      </c>
      <c r="FJ5" s="2">
        <v>540.96923728799993</v>
      </c>
      <c r="FK5" s="2">
        <v>268.98944524300003</v>
      </c>
      <c r="FL5" s="2">
        <v>518.96860925399983</v>
      </c>
      <c r="FM5" s="2">
        <v>18.112792850999998</v>
      </c>
      <c r="FN5" s="2">
        <v>261.08431179400003</v>
      </c>
      <c r="FO5" s="2">
        <v>112.43828372500001</v>
      </c>
      <c r="FP5" s="2">
        <v>118.27529379800001</v>
      </c>
      <c r="FQ5" s="2">
        <v>649.1019516839998</v>
      </c>
      <c r="FR5" s="2">
        <v>870.4106927979999</v>
      </c>
      <c r="FS5" s="2">
        <v>380.58187440900002</v>
      </c>
      <c r="FT5" s="2">
        <v>645.45086202500011</v>
      </c>
      <c r="FU5" s="2">
        <v>306.85078474500006</v>
      </c>
      <c r="FV5" s="2">
        <v>602.97699578800018</v>
      </c>
      <c r="FW5" s="2">
        <v>327.08446276700005</v>
      </c>
      <c r="FX5" s="2">
        <v>585.24241421799991</v>
      </c>
      <c r="FY5" s="2">
        <v>187.59268937500002</v>
      </c>
      <c r="FZ5" s="2">
        <v>314.94137429799997</v>
      </c>
      <c r="GA5" s="2">
        <v>129.19890723</v>
      </c>
      <c r="GB5" s="22">
        <v>154.21055376800001</v>
      </c>
      <c r="GC5" s="22">
        <v>703.42494635900005</v>
      </c>
      <c r="GD5" s="22">
        <v>702.29416376800009</v>
      </c>
      <c r="GE5" s="22">
        <v>340.18758824299994</v>
      </c>
      <c r="GF5" s="22">
        <v>759.96839047599997</v>
      </c>
      <c r="GG5" s="22">
        <v>319.95627627900001</v>
      </c>
      <c r="GH5" s="22">
        <v>658.28118689200005</v>
      </c>
      <c r="GI5" s="22">
        <v>370.02738948300004</v>
      </c>
      <c r="GJ5" s="22">
        <v>620.88066688900017</v>
      </c>
      <c r="GK5" s="22">
        <v>186.93127711599999</v>
      </c>
      <c r="GL5" s="23">
        <v>368.78704122300002</v>
      </c>
      <c r="GM5" s="23">
        <v>176.86689867499999</v>
      </c>
      <c r="GN5" s="23">
        <v>414.16955743599999</v>
      </c>
      <c r="GO5" s="23">
        <v>813.28127649800012</v>
      </c>
      <c r="GP5" s="23">
        <v>803.75131760900001</v>
      </c>
      <c r="GQ5" s="23">
        <v>423.60195590299998</v>
      </c>
      <c r="GR5" s="23">
        <v>752.57867484899998</v>
      </c>
      <c r="GS5" s="23">
        <v>239.675917653</v>
      </c>
      <c r="GT5" s="23">
        <v>743.25175174399999</v>
      </c>
      <c r="GU5" s="23">
        <v>405.04089447799998</v>
      </c>
      <c r="GV5" s="23">
        <v>659.28723072299999</v>
      </c>
      <c r="GW5" s="23">
        <v>212.42550222200001</v>
      </c>
      <c r="GX5" s="23">
        <v>336.229990751</v>
      </c>
      <c r="GY5" s="23">
        <v>136.38919294500002</v>
      </c>
      <c r="GZ5" s="23">
        <v>493.48855527200004</v>
      </c>
      <c r="HA5" s="23">
        <v>264.89117648199999</v>
      </c>
      <c r="HB5" s="23">
        <v>308.32559026799998</v>
      </c>
      <c r="HC5" s="23">
        <v>452.17791019999999</v>
      </c>
      <c r="HD5" s="23">
        <v>696.533787448</v>
      </c>
      <c r="HE5" s="23">
        <v>16.752831713999999</v>
      </c>
      <c r="HF5" s="23"/>
      <c r="HG5" s="23"/>
      <c r="HH5" s="23"/>
      <c r="HI5" s="23"/>
    </row>
    <row r="6" spans="1:217">
      <c r="A6" s="29" t="s">
        <v>51</v>
      </c>
      <c r="B6" s="2">
        <v>51.019027981000008</v>
      </c>
      <c r="C6" s="2">
        <v>39.737610391000004</v>
      </c>
      <c r="D6" s="2">
        <v>202.51609236600001</v>
      </c>
      <c r="E6" s="2">
        <v>111.518850923</v>
      </c>
      <c r="F6" s="2">
        <v>111.92845023299999</v>
      </c>
      <c r="G6" s="2">
        <v>106.667379676</v>
      </c>
      <c r="H6" s="2">
        <v>116.175969947</v>
      </c>
      <c r="I6" s="2">
        <v>132.635347927</v>
      </c>
      <c r="J6" s="2">
        <v>131.73927325900002</v>
      </c>
      <c r="K6" s="2">
        <v>110.205259377</v>
      </c>
      <c r="L6" s="2">
        <v>1068.0911039990001</v>
      </c>
      <c r="M6" s="2">
        <v>254.0617740699999</v>
      </c>
      <c r="N6" s="2">
        <v>85.834171026999996</v>
      </c>
      <c r="O6" s="2">
        <v>189.25612254399999</v>
      </c>
      <c r="P6" s="2">
        <v>381.00556851099998</v>
      </c>
      <c r="Q6" s="2">
        <v>140.41586991599999</v>
      </c>
      <c r="R6" s="2">
        <v>132.645984148</v>
      </c>
      <c r="S6" s="2">
        <v>173.36172170100002</v>
      </c>
      <c r="T6" s="2">
        <v>493.15296958599998</v>
      </c>
      <c r="U6" s="2">
        <v>274.34497837499998</v>
      </c>
      <c r="V6" s="2">
        <v>252.51800654799999</v>
      </c>
      <c r="W6" s="2">
        <v>335.42879814499997</v>
      </c>
      <c r="X6" s="2">
        <v>174.48125637699999</v>
      </c>
      <c r="Y6" s="2">
        <v>292.30478601200002</v>
      </c>
      <c r="Z6" s="2">
        <v>210.208141759</v>
      </c>
      <c r="AA6" s="2">
        <v>270.35356731499996</v>
      </c>
      <c r="AB6" s="2">
        <v>237.55373536499999</v>
      </c>
      <c r="AC6" s="2">
        <v>242.15942922099998</v>
      </c>
      <c r="AD6" s="2">
        <v>261.29413435599997</v>
      </c>
      <c r="AE6" s="2">
        <v>288.738113656</v>
      </c>
      <c r="AF6" s="2">
        <v>266.52048426900001</v>
      </c>
      <c r="AG6" s="2">
        <v>277.34065295699997</v>
      </c>
      <c r="AH6" s="2">
        <v>314.879428921</v>
      </c>
      <c r="AI6" s="2">
        <v>279.35724434899998</v>
      </c>
      <c r="AJ6" s="2">
        <v>322.95929860199999</v>
      </c>
      <c r="AK6" s="2">
        <v>417.39244739899999</v>
      </c>
      <c r="AL6" s="2">
        <v>293.95890341399996</v>
      </c>
      <c r="AM6" s="2">
        <v>296.02888413900001</v>
      </c>
      <c r="AN6" s="2">
        <v>304.34103991699999</v>
      </c>
      <c r="AO6" s="2">
        <v>277.70160718</v>
      </c>
      <c r="AP6" s="2">
        <v>329.681797335</v>
      </c>
      <c r="AQ6" s="2">
        <v>315.93879634900003</v>
      </c>
      <c r="AR6" s="2">
        <v>340.96366369500004</v>
      </c>
      <c r="AS6" s="2">
        <v>386.18733472600002</v>
      </c>
      <c r="AT6" s="2">
        <v>322.62693860299999</v>
      </c>
      <c r="AU6" s="2">
        <v>455.99846480600002</v>
      </c>
      <c r="AV6" s="2">
        <v>364.00948400100003</v>
      </c>
      <c r="AW6" s="2">
        <v>384.27332928499993</v>
      </c>
      <c r="AX6" s="2">
        <v>349.50211045000003</v>
      </c>
      <c r="AY6" s="2">
        <v>219.76587958800002</v>
      </c>
      <c r="AZ6" s="2">
        <v>280.91403794899998</v>
      </c>
      <c r="BA6" s="2">
        <v>218.57605141800002</v>
      </c>
      <c r="BB6" s="2">
        <v>288.178977702</v>
      </c>
      <c r="BC6" s="2">
        <v>258.27632280299997</v>
      </c>
      <c r="BD6" s="2">
        <v>903.59106466200001</v>
      </c>
      <c r="BE6" s="2">
        <v>545.28336556700003</v>
      </c>
      <c r="BF6" s="2">
        <v>429.74790621800003</v>
      </c>
      <c r="BG6" s="2">
        <v>264.57548660200001</v>
      </c>
      <c r="BH6" s="2">
        <v>477.003126909</v>
      </c>
      <c r="BI6" s="2">
        <v>595.38400774699994</v>
      </c>
      <c r="BJ6" s="2">
        <v>452.99097703500001</v>
      </c>
      <c r="BK6" s="2">
        <v>321.14049802399995</v>
      </c>
      <c r="BL6" s="2">
        <v>479.27699498599998</v>
      </c>
      <c r="BM6" s="2">
        <v>484.78027176299997</v>
      </c>
      <c r="BN6" s="2">
        <v>664.43995579700004</v>
      </c>
      <c r="BO6" s="2">
        <v>297.37999737299998</v>
      </c>
      <c r="BP6" s="2">
        <v>368.28378598699999</v>
      </c>
      <c r="BQ6" s="2">
        <v>488.76285098099999</v>
      </c>
      <c r="BR6" s="2">
        <v>342.85084691500003</v>
      </c>
      <c r="BS6" s="2">
        <v>694.78067475400007</v>
      </c>
      <c r="BT6" s="2">
        <v>626.65748905800012</v>
      </c>
      <c r="BU6" s="2">
        <v>681.54744728600008</v>
      </c>
      <c r="BV6" s="2">
        <v>211.648672519</v>
      </c>
      <c r="BW6" s="2">
        <v>478.72076372800001</v>
      </c>
      <c r="BX6" s="2">
        <v>481.43656149000003</v>
      </c>
      <c r="BY6" s="2">
        <v>608.63984924800002</v>
      </c>
      <c r="BZ6" s="2">
        <v>403.48329885800001</v>
      </c>
      <c r="CA6" s="2">
        <v>501.79849515800004</v>
      </c>
      <c r="CB6" s="2">
        <v>484.42853188399999</v>
      </c>
      <c r="CC6" s="2">
        <v>511.82850234500006</v>
      </c>
      <c r="CD6" s="2">
        <v>507.89315399799995</v>
      </c>
      <c r="CE6" s="2">
        <v>563.35700976300006</v>
      </c>
      <c r="CF6" s="2">
        <v>568.57080651899992</v>
      </c>
      <c r="CG6" s="2">
        <v>620.00483837000002</v>
      </c>
      <c r="CH6" s="2">
        <v>575.28555964600002</v>
      </c>
      <c r="CI6" s="2">
        <v>594.79813745900003</v>
      </c>
      <c r="CJ6" s="2">
        <v>554.27330319600003</v>
      </c>
      <c r="CK6" s="2">
        <v>591.32017953399998</v>
      </c>
      <c r="CL6" s="2">
        <v>640.72881435799991</v>
      </c>
      <c r="CM6" s="2">
        <v>619.70074365899995</v>
      </c>
      <c r="CN6" s="2">
        <v>596.78624870599992</v>
      </c>
      <c r="CO6" s="2">
        <v>646.44588445099998</v>
      </c>
      <c r="CP6" s="2">
        <v>630.08717891399999</v>
      </c>
      <c r="CQ6" s="2">
        <v>723.820616159</v>
      </c>
      <c r="CR6" s="2">
        <v>693.08702585499998</v>
      </c>
      <c r="CS6" s="2">
        <v>819.35332249299995</v>
      </c>
      <c r="CT6" s="2">
        <v>705.47738206600002</v>
      </c>
      <c r="CU6" s="2">
        <v>600.02181311899994</v>
      </c>
      <c r="CV6" s="2">
        <v>749.35237954800004</v>
      </c>
      <c r="CW6" s="2">
        <v>686.70718342900011</v>
      </c>
      <c r="CX6" s="2">
        <v>690.33805963899999</v>
      </c>
      <c r="CY6" s="2">
        <v>788.29463840200003</v>
      </c>
      <c r="CZ6" s="2">
        <v>666.139801605</v>
      </c>
      <c r="DA6" s="2">
        <v>752.23452247</v>
      </c>
      <c r="DB6" s="2">
        <v>756.19390213600002</v>
      </c>
      <c r="DC6" s="2">
        <v>801.65482931099996</v>
      </c>
      <c r="DD6" s="2">
        <v>772.07643268799984</v>
      </c>
      <c r="DE6" s="2">
        <v>836.259850368</v>
      </c>
      <c r="DF6" s="2">
        <v>772.14321813899994</v>
      </c>
      <c r="DG6" s="2">
        <v>701.63633370599996</v>
      </c>
      <c r="DH6" s="2">
        <v>719.10554801600006</v>
      </c>
      <c r="DI6" s="2">
        <v>724.80646372599995</v>
      </c>
      <c r="DJ6" s="2">
        <v>766.15371584200011</v>
      </c>
      <c r="DK6" s="2">
        <v>721.44412577100002</v>
      </c>
      <c r="DL6" s="2">
        <v>780.96677351499989</v>
      </c>
      <c r="DM6" s="2">
        <v>789.83215837000012</v>
      </c>
      <c r="DN6" s="2">
        <v>752.35089437900001</v>
      </c>
      <c r="DO6" s="2">
        <v>823.39148094800009</v>
      </c>
      <c r="DP6" s="2">
        <v>865.35138765300007</v>
      </c>
      <c r="DQ6" s="2">
        <v>805.188264344</v>
      </c>
      <c r="DR6" s="2">
        <v>895.79075776399986</v>
      </c>
      <c r="DS6" s="2">
        <v>705.96936251099999</v>
      </c>
      <c r="DT6" s="2">
        <v>697.916211116</v>
      </c>
      <c r="DU6" s="2">
        <v>828.97896721399991</v>
      </c>
      <c r="DV6" s="2">
        <v>820.73023382600002</v>
      </c>
      <c r="DW6" s="2">
        <v>766.00486672099987</v>
      </c>
      <c r="DX6" s="2">
        <v>818.74335256099994</v>
      </c>
      <c r="DY6" s="2">
        <v>871.51261751000004</v>
      </c>
      <c r="DZ6" s="2">
        <v>856.98930704300005</v>
      </c>
      <c r="EA6" s="2">
        <v>854.869671219</v>
      </c>
      <c r="EB6" s="2">
        <v>848.098357061</v>
      </c>
      <c r="EC6" s="2">
        <v>973.44255654600011</v>
      </c>
      <c r="ED6" s="2">
        <v>975.34965772499993</v>
      </c>
      <c r="EE6" s="2">
        <v>826.76300119199993</v>
      </c>
      <c r="EF6" s="2">
        <v>935.97106415500002</v>
      </c>
      <c r="EG6" s="2">
        <v>965.44760096199991</v>
      </c>
      <c r="EH6" s="2">
        <v>955.98898692800003</v>
      </c>
      <c r="EI6" s="2">
        <v>952.37123936400008</v>
      </c>
      <c r="EJ6" s="2">
        <v>1049.091106736</v>
      </c>
      <c r="EK6" s="2">
        <v>956.36122785099997</v>
      </c>
      <c r="EL6" s="2">
        <v>1027.404043583</v>
      </c>
      <c r="EM6" s="2">
        <v>1117.8851794560001</v>
      </c>
      <c r="EN6" s="2">
        <v>972.19218977699984</v>
      </c>
      <c r="EO6" s="2">
        <v>1096.002103409</v>
      </c>
      <c r="EP6" s="2">
        <v>1064.0351457240001</v>
      </c>
      <c r="EQ6" s="2">
        <v>877.79345570499993</v>
      </c>
      <c r="ER6" s="2">
        <v>1041.276012114</v>
      </c>
      <c r="ES6" s="2">
        <v>994.87472354300007</v>
      </c>
      <c r="ET6" s="2">
        <v>975.593408092</v>
      </c>
      <c r="EU6" s="2">
        <v>1004.7822451970001</v>
      </c>
      <c r="EV6" s="2">
        <v>1058.5381275090001</v>
      </c>
      <c r="EW6" s="2">
        <v>983.16827480200004</v>
      </c>
      <c r="EX6" s="2">
        <v>1054.231393302</v>
      </c>
      <c r="EY6" s="2">
        <v>1036.9968583110001</v>
      </c>
      <c r="EZ6" s="2">
        <v>1003.193932026</v>
      </c>
      <c r="FA6" s="2">
        <v>1129.453794651</v>
      </c>
      <c r="FB6" s="2">
        <v>1075.3517464860001</v>
      </c>
      <c r="FC6" s="2">
        <v>931.09875648299999</v>
      </c>
      <c r="FD6" s="2">
        <v>1041.751446562</v>
      </c>
      <c r="FE6" s="2">
        <v>1049.4494941109999</v>
      </c>
      <c r="FF6" s="2">
        <v>1076.169102951</v>
      </c>
      <c r="FG6" s="2">
        <v>1064.09282134</v>
      </c>
      <c r="FH6" s="2">
        <v>1029.021654726</v>
      </c>
      <c r="FI6" s="2">
        <v>1156.8761443420001</v>
      </c>
      <c r="FJ6" s="2">
        <v>1120.8974836689999</v>
      </c>
      <c r="FK6" s="2">
        <v>1040.3226914690001</v>
      </c>
      <c r="FL6" s="2">
        <v>1107.8558393850001</v>
      </c>
      <c r="FM6" s="2">
        <v>712.185115913</v>
      </c>
      <c r="FN6" s="2">
        <v>1151.3448652740001</v>
      </c>
      <c r="FO6" s="2">
        <v>986.31981518499992</v>
      </c>
      <c r="FP6" s="2">
        <v>1159.4795775749999</v>
      </c>
      <c r="FQ6" s="2">
        <v>1103.8742659009999</v>
      </c>
      <c r="FR6" s="2">
        <v>1155.5851287159999</v>
      </c>
      <c r="FS6" s="2">
        <v>1152.8231439590002</v>
      </c>
      <c r="FT6" s="2">
        <v>1171.117876431</v>
      </c>
      <c r="FU6" s="2">
        <v>1254.866149643</v>
      </c>
      <c r="FV6" s="2">
        <v>1243.2066371449998</v>
      </c>
      <c r="FW6" s="2">
        <v>1182.7945784120002</v>
      </c>
      <c r="FX6" s="2">
        <v>1200.609266853</v>
      </c>
      <c r="FY6" s="2">
        <v>1305.847629932</v>
      </c>
      <c r="FZ6" s="2">
        <v>1318.1182466119999</v>
      </c>
      <c r="GA6" s="2">
        <v>1091.461576247</v>
      </c>
      <c r="GB6" s="22">
        <v>1222.4445893070001</v>
      </c>
      <c r="GC6" s="22">
        <v>1346.2312043319998</v>
      </c>
      <c r="GD6" s="22">
        <v>1276.1651989869999</v>
      </c>
      <c r="GE6" s="22">
        <v>1252.7402387070001</v>
      </c>
      <c r="GF6" s="22">
        <v>1215.0047790899998</v>
      </c>
      <c r="GG6" s="22">
        <v>1318.813409979</v>
      </c>
      <c r="GH6" s="22">
        <v>1239.9319973719998</v>
      </c>
      <c r="GI6" s="22">
        <v>1282.549055164</v>
      </c>
      <c r="GJ6" s="22">
        <v>1297.458082007</v>
      </c>
      <c r="GK6" s="22">
        <v>1145.528027368</v>
      </c>
      <c r="GL6" s="23">
        <v>1232.1432510489999</v>
      </c>
      <c r="GM6" s="23">
        <v>1197.9150561699998</v>
      </c>
      <c r="GN6" s="23">
        <v>1165.0487603380002</v>
      </c>
      <c r="GO6" s="23">
        <v>1178.6037045399999</v>
      </c>
      <c r="GP6" s="23">
        <v>1239.5382225420001</v>
      </c>
      <c r="GQ6" s="23">
        <v>1085.9575405640001</v>
      </c>
      <c r="GR6" s="23">
        <v>1273.5361822310001</v>
      </c>
      <c r="GS6" s="23">
        <v>1324.8878636430002</v>
      </c>
      <c r="GT6" s="23">
        <v>1249.035450908</v>
      </c>
      <c r="GU6" s="23">
        <v>1283.95484192</v>
      </c>
      <c r="GV6" s="23">
        <v>1236.9174152319999</v>
      </c>
      <c r="GW6" s="23">
        <v>1248.7600058750002</v>
      </c>
      <c r="GX6" s="23">
        <v>1384.3596450350001</v>
      </c>
      <c r="GY6" s="23">
        <v>1225.0634290329999</v>
      </c>
      <c r="GZ6" s="23">
        <v>1107.1975260609997</v>
      </c>
      <c r="HA6" s="23">
        <v>710.767923645</v>
      </c>
      <c r="HB6" s="23">
        <v>1003.2892296950001</v>
      </c>
      <c r="HC6" s="23">
        <v>1172.9151346369999</v>
      </c>
      <c r="HD6" s="23">
        <v>1225.301893545</v>
      </c>
      <c r="HE6" s="23">
        <v>658.54511283600004</v>
      </c>
      <c r="HF6" s="23"/>
      <c r="HG6" s="23"/>
      <c r="HH6" s="23"/>
      <c r="HI6" s="23"/>
    </row>
    <row r="7" spans="1:217">
      <c r="A7" s="29" t="s">
        <v>52</v>
      </c>
      <c r="B7" s="2">
        <v>25.634772888000001</v>
      </c>
      <c r="C7" s="2">
        <v>18.644480049000002</v>
      </c>
      <c r="D7" s="2">
        <v>118.16595578800001</v>
      </c>
      <c r="E7" s="2">
        <v>60.968476783999996</v>
      </c>
      <c r="F7" s="2">
        <v>70.520159847999992</v>
      </c>
      <c r="G7" s="2">
        <v>69.005032225999997</v>
      </c>
      <c r="H7" s="2">
        <v>69.714311549000001</v>
      </c>
      <c r="I7" s="2">
        <v>81.401404157000002</v>
      </c>
      <c r="J7" s="2">
        <v>93.007620848000002</v>
      </c>
      <c r="K7" s="2">
        <v>86.493708183999999</v>
      </c>
      <c r="L7" s="2">
        <v>267.896274275</v>
      </c>
      <c r="M7" s="2">
        <v>761.92856841599996</v>
      </c>
      <c r="N7" s="2">
        <v>58.860449679999995</v>
      </c>
      <c r="O7" s="2">
        <v>112.566171904</v>
      </c>
      <c r="P7" s="2">
        <v>281.546935109</v>
      </c>
      <c r="Q7" s="2">
        <v>90.530715344000001</v>
      </c>
      <c r="R7" s="2">
        <v>76.448850476000004</v>
      </c>
      <c r="S7" s="2">
        <v>104.876761446</v>
      </c>
      <c r="T7" s="2">
        <v>335.68356411899998</v>
      </c>
      <c r="U7" s="2">
        <v>178.44192202400001</v>
      </c>
      <c r="V7" s="2">
        <v>165.352911885</v>
      </c>
      <c r="W7" s="2">
        <v>222.569956117</v>
      </c>
      <c r="X7" s="2">
        <v>128.64435031599999</v>
      </c>
      <c r="Y7" s="2">
        <v>218.383035667</v>
      </c>
      <c r="Z7" s="2">
        <v>144.44270920000002</v>
      </c>
      <c r="AA7" s="2">
        <v>185.105018304</v>
      </c>
      <c r="AB7" s="2">
        <v>150.61967765399999</v>
      </c>
      <c r="AC7" s="2">
        <v>170.26251029899998</v>
      </c>
      <c r="AD7" s="2">
        <v>184.46400087500001</v>
      </c>
      <c r="AE7" s="2">
        <v>215.49647093999999</v>
      </c>
      <c r="AF7" s="2">
        <v>186.73829983500002</v>
      </c>
      <c r="AG7" s="2">
        <v>208.23503409400001</v>
      </c>
      <c r="AH7" s="2">
        <v>230.22747156200001</v>
      </c>
      <c r="AI7" s="2">
        <v>211.29021178400001</v>
      </c>
      <c r="AJ7" s="2">
        <v>231.08522083700001</v>
      </c>
      <c r="AK7" s="2">
        <v>324.59489985099998</v>
      </c>
      <c r="AL7" s="2">
        <v>218.29335861299998</v>
      </c>
      <c r="AM7" s="2">
        <v>226.087874602</v>
      </c>
      <c r="AN7" s="2">
        <v>213.55536741700001</v>
      </c>
      <c r="AO7" s="2">
        <v>206.99381511199999</v>
      </c>
      <c r="AP7" s="2">
        <v>229.877526343</v>
      </c>
      <c r="AQ7" s="2">
        <v>226.89115322400002</v>
      </c>
      <c r="AR7" s="2">
        <v>236.35716526300001</v>
      </c>
      <c r="AS7" s="2">
        <v>301.92305020700002</v>
      </c>
      <c r="AT7" s="2">
        <v>251.26028695400001</v>
      </c>
      <c r="AU7" s="2">
        <v>324.62212636800001</v>
      </c>
      <c r="AV7" s="2">
        <v>266.34512810400003</v>
      </c>
      <c r="AW7" s="2">
        <v>277.52698808599996</v>
      </c>
      <c r="AX7" s="2">
        <v>227.91730859</v>
      </c>
      <c r="AY7" s="2">
        <v>128.96173174</v>
      </c>
      <c r="AZ7" s="2">
        <v>133.921084014</v>
      </c>
      <c r="BA7" s="2">
        <v>126.842174337</v>
      </c>
      <c r="BB7" s="2">
        <v>180.54665591199998</v>
      </c>
      <c r="BC7" s="2">
        <v>170.30963566</v>
      </c>
      <c r="BD7" s="2">
        <v>742.71144549099995</v>
      </c>
      <c r="BE7" s="2">
        <v>420.10598143200002</v>
      </c>
      <c r="BF7" s="2">
        <v>359.69774033900001</v>
      </c>
      <c r="BG7" s="2">
        <v>188.562476895</v>
      </c>
      <c r="BH7" s="2">
        <v>350.65806290500001</v>
      </c>
      <c r="BI7" s="2">
        <v>491.08189020699996</v>
      </c>
      <c r="BJ7" s="2">
        <v>359.25209787099999</v>
      </c>
      <c r="BK7" s="2">
        <v>198.19741280399998</v>
      </c>
      <c r="BL7" s="2">
        <v>382.86233073699998</v>
      </c>
      <c r="BM7" s="2">
        <v>344.24520141400001</v>
      </c>
      <c r="BN7" s="2">
        <v>525.98460711300004</v>
      </c>
      <c r="BO7" s="2">
        <v>207.23498129800001</v>
      </c>
      <c r="BP7" s="2">
        <v>250.61626109099998</v>
      </c>
      <c r="BQ7" s="2">
        <v>395.79172393499999</v>
      </c>
      <c r="BR7" s="2">
        <v>234.853742729</v>
      </c>
      <c r="BS7" s="2">
        <v>559.59395970900005</v>
      </c>
      <c r="BT7" s="2">
        <v>526.84980129000007</v>
      </c>
      <c r="BU7" s="2">
        <v>527.77737475100014</v>
      </c>
      <c r="BV7" s="2">
        <v>149.29924903100002</v>
      </c>
      <c r="BW7" s="2">
        <v>354.89200145500001</v>
      </c>
      <c r="BX7" s="2">
        <v>333.53294093900001</v>
      </c>
      <c r="BY7" s="2">
        <v>482.15821406499998</v>
      </c>
      <c r="BZ7" s="2">
        <v>325.659064059</v>
      </c>
      <c r="CA7" s="2">
        <v>358.06044973800005</v>
      </c>
      <c r="CB7" s="2">
        <v>395.05509517299998</v>
      </c>
      <c r="CC7" s="2">
        <v>383.10423116000004</v>
      </c>
      <c r="CD7" s="2">
        <v>385.80718769399994</v>
      </c>
      <c r="CE7" s="2">
        <v>421.44256341800002</v>
      </c>
      <c r="CF7" s="2">
        <v>419.43232563699996</v>
      </c>
      <c r="CG7" s="2">
        <v>441.65917778400001</v>
      </c>
      <c r="CH7" s="2">
        <v>475.88226978700004</v>
      </c>
      <c r="CI7" s="2">
        <v>413.35452817300001</v>
      </c>
      <c r="CJ7" s="2">
        <v>469.952513517</v>
      </c>
      <c r="CK7" s="2">
        <v>480.04839885499996</v>
      </c>
      <c r="CL7" s="2">
        <v>480.18185769499996</v>
      </c>
      <c r="CM7" s="2">
        <v>483.10218294399999</v>
      </c>
      <c r="CN7" s="2">
        <v>501.90213186099999</v>
      </c>
      <c r="CO7" s="2">
        <v>500.21368495199999</v>
      </c>
      <c r="CP7" s="2">
        <v>500.285571355</v>
      </c>
      <c r="CQ7" s="2">
        <v>556.50265097800002</v>
      </c>
      <c r="CR7" s="2">
        <v>562.70040448099996</v>
      </c>
      <c r="CS7" s="2">
        <v>483.97657372999998</v>
      </c>
      <c r="CT7" s="2">
        <v>584.07753220500001</v>
      </c>
      <c r="CU7" s="2">
        <v>492.16798834999997</v>
      </c>
      <c r="CV7" s="2">
        <v>561.54699505999997</v>
      </c>
      <c r="CW7" s="2">
        <v>510.20636833900005</v>
      </c>
      <c r="CX7" s="2">
        <v>565.44411125099998</v>
      </c>
      <c r="CY7" s="2">
        <v>579.05910587400001</v>
      </c>
      <c r="CZ7" s="2">
        <v>536.09776361699994</v>
      </c>
      <c r="DA7" s="2">
        <v>512.34276154500003</v>
      </c>
      <c r="DB7" s="2">
        <v>587.09320754600003</v>
      </c>
      <c r="DC7" s="2">
        <v>612.256118614</v>
      </c>
      <c r="DD7" s="2">
        <v>614.34958825099989</v>
      </c>
      <c r="DE7" s="2">
        <v>631.07534007599997</v>
      </c>
      <c r="DF7" s="2">
        <v>625.29504501999998</v>
      </c>
      <c r="DG7" s="2">
        <v>528.14100687600001</v>
      </c>
      <c r="DH7" s="2">
        <v>532.78821748400003</v>
      </c>
      <c r="DI7" s="2">
        <v>543.68156094200003</v>
      </c>
      <c r="DJ7" s="2">
        <v>592.52133451500004</v>
      </c>
      <c r="DK7" s="2">
        <v>541.78716382599998</v>
      </c>
      <c r="DL7" s="2">
        <v>582.01608788499993</v>
      </c>
      <c r="DM7" s="2">
        <v>596.65048596100007</v>
      </c>
      <c r="DN7" s="2">
        <v>596.26323423700001</v>
      </c>
      <c r="DO7" s="2">
        <v>614.03701038200006</v>
      </c>
      <c r="DP7" s="2">
        <v>678.93042090500012</v>
      </c>
      <c r="DQ7" s="2">
        <v>646.57459208399996</v>
      </c>
      <c r="DR7" s="2">
        <v>718.82178428499992</v>
      </c>
      <c r="DS7" s="2">
        <v>556.48379473199998</v>
      </c>
      <c r="DT7" s="2">
        <v>511.45389023199999</v>
      </c>
      <c r="DU7" s="2">
        <v>657.62702994899996</v>
      </c>
      <c r="DV7" s="2">
        <v>645.52639414999999</v>
      </c>
      <c r="DW7" s="2">
        <v>620.57465370799991</v>
      </c>
      <c r="DX7" s="2">
        <v>658.05355456699999</v>
      </c>
      <c r="DY7" s="2">
        <v>734.784979013</v>
      </c>
      <c r="DZ7" s="2">
        <v>663.94689173500001</v>
      </c>
      <c r="EA7" s="2">
        <v>685.86572144000002</v>
      </c>
      <c r="EB7" s="2">
        <v>652.00168574400004</v>
      </c>
      <c r="EC7" s="2">
        <v>778.55679097300003</v>
      </c>
      <c r="ED7" s="2">
        <v>766.35214378499995</v>
      </c>
      <c r="EE7" s="2">
        <v>661.10999355799993</v>
      </c>
      <c r="EF7" s="2">
        <v>730.37390287100004</v>
      </c>
      <c r="EG7" s="2">
        <v>755.34511323999993</v>
      </c>
      <c r="EH7" s="2">
        <v>749.53473158700001</v>
      </c>
      <c r="EI7" s="2">
        <v>763.17486694199999</v>
      </c>
      <c r="EJ7" s="2">
        <v>843.23184429500009</v>
      </c>
      <c r="EK7" s="2">
        <v>756.42267207199995</v>
      </c>
      <c r="EL7" s="2">
        <v>770.45764524100002</v>
      </c>
      <c r="EM7" s="2">
        <v>872.39915918500003</v>
      </c>
      <c r="EN7" s="2">
        <v>774.48970418799991</v>
      </c>
      <c r="EO7" s="2">
        <v>890.13274933100001</v>
      </c>
      <c r="EP7" s="2">
        <v>869.38825896000003</v>
      </c>
      <c r="EQ7" s="2">
        <v>706.66762479699992</v>
      </c>
      <c r="ER7" s="2">
        <v>806.00859649800009</v>
      </c>
      <c r="ES7" s="2">
        <v>797.26916547900009</v>
      </c>
      <c r="ET7" s="2">
        <v>796.21440873699999</v>
      </c>
      <c r="EU7" s="2">
        <v>802.49137789400004</v>
      </c>
      <c r="EV7" s="2">
        <v>859.28756107400011</v>
      </c>
      <c r="EW7" s="2">
        <v>798.83199491100004</v>
      </c>
      <c r="EX7" s="2">
        <v>828.94799849799995</v>
      </c>
      <c r="EY7" s="2">
        <v>852.02677070300001</v>
      </c>
      <c r="EZ7" s="2">
        <v>807.13167580300001</v>
      </c>
      <c r="FA7" s="2">
        <v>872.85260603699999</v>
      </c>
      <c r="FB7" s="2">
        <v>849.80364125900007</v>
      </c>
      <c r="FC7" s="2">
        <v>769.57442059999994</v>
      </c>
      <c r="FD7" s="2">
        <v>828.87751178500002</v>
      </c>
      <c r="FE7" s="2">
        <v>836.26728985900002</v>
      </c>
      <c r="FF7" s="2">
        <v>848.50773535900009</v>
      </c>
      <c r="FG7" s="2">
        <v>873.56871104699997</v>
      </c>
      <c r="FH7" s="2">
        <v>843.7102129189999</v>
      </c>
      <c r="FI7" s="2">
        <v>896.97241874500003</v>
      </c>
      <c r="FJ7" s="2">
        <v>909.21556527799999</v>
      </c>
      <c r="FK7" s="2">
        <v>839.83126951400004</v>
      </c>
      <c r="FL7" s="2">
        <v>883.49868258900005</v>
      </c>
      <c r="FM7" s="2">
        <v>474.74414464399996</v>
      </c>
      <c r="FN7" s="2">
        <v>919.515212926</v>
      </c>
      <c r="FO7" s="2">
        <v>774.53563909399998</v>
      </c>
      <c r="FP7" s="2">
        <v>919.63845480999998</v>
      </c>
      <c r="FQ7" s="2">
        <v>886.20044487100006</v>
      </c>
      <c r="FR7" s="2">
        <v>880.26059104899991</v>
      </c>
      <c r="FS7" s="2">
        <v>921.9914744030001</v>
      </c>
      <c r="FT7" s="2">
        <v>956.356465566</v>
      </c>
      <c r="FU7" s="2">
        <v>993.12955526999997</v>
      </c>
      <c r="FV7" s="2">
        <v>1003.6178794269999</v>
      </c>
      <c r="FW7" s="2">
        <v>957.3421817740001</v>
      </c>
      <c r="FX7" s="2">
        <v>964.25880288099995</v>
      </c>
      <c r="FY7" s="2">
        <v>1003.240962503</v>
      </c>
      <c r="FZ7" s="2">
        <v>1037.1004209349999</v>
      </c>
      <c r="GA7" s="2">
        <v>874.71650041199996</v>
      </c>
      <c r="GB7" s="22">
        <v>958.94450579900001</v>
      </c>
      <c r="GC7" s="22">
        <v>1055.9946371379999</v>
      </c>
      <c r="GD7" s="22">
        <v>999.60959036700001</v>
      </c>
      <c r="GE7" s="22">
        <v>960.42842038000003</v>
      </c>
      <c r="GF7" s="22">
        <v>980.12826650099987</v>
      </c>
      <c r="GG7" s="22">
        <v>1061.3164260359999</v>
      </c>
      <c r="GH7" s="22">
        <v>970.67435501599994</v>
      </c>
      <c r="GI7" s="22">
        <v>988.61492524799996</v>
      </c>
      <c r="GJ7" s="22">
        <v>1025.644361766</v>
      </c>
      <c r="GK7" s="22">
        <v>899.233001027</v>
      </c>
      <c r="GL7" s="23">
        <v>991.612738788</v>
      </c>
      <c r="GM7" s="23">
        <v>945.08357736899995</v>
      </c>
      <c r="GN7" s="23">
        <v>905.33771431300011</v>
      </c>
      <c r="GO7" s="23">
        <v>926.30511581999997</v>
      </c>
      <c r="GP7" s="23">
        <v>964.24012146600001</v>
      </c>
      <c r="GQ7" s="23">
        <v>893.16161649599997</v>
      </c>
      <c r="GR7" s="23">
        <v>1002.783391561</v>
      </c>
      <c r="GS7" s="23">
        <v>1073.8736537490001</v>
      </c>
      <c r="GT7" s="23">
        <v>1000.691283419</v>
      </c>
      <c r="GU7" s="23">
        <v>1019.104583201</v>
      </c>
      <c r="GV7" s="23">
        <v>1003.304079184</v>
      </c>
      <c r="GW7" s="23">
        <v>969.9120669560001</v>
      </c>
      <c r="GX7" s="23">
        <v>1134.07200992</v>
      </c>
      <c r="GY7" s="23">
        <v>939.15368173900004</v>
      </c>
      <c r="GZ7" s="23">
        <v>840.83143264199987</v>
      </c>
      <c r="HA7" s="23">
        <v>587.35032329000001</v>
      </c>
      <c r="HB7" s="23">
        <v>822.66310179800007</v>
      </c>
      <c r="HC7" s="23">
        <v>934.09225575599999</v>
      </c>
      <c r="HD7" s="23">
        <v>999.66307296799994</v>
      </c>
      <c r="HE7" s="23">
        <v>415.13694172100003</v>
      </c>
      <c r="HF7" s="23"/>
      <c r="HG7" s="23"/>
      <c r="HH7" s="23"/>
      <c r="HI7" s="23"/>
    </row>
    <row r="8" spans="1:217">
      <c r="A8" s="29" t="s">
        <v>53</v>
      </c>
      <c r="B8" s="2">
        <v>25.384255093000004</v>
      </c>
      <c r="C8" s="2">
        <v>21.093130342000002</v>
      </c>
      <c r="D8" s="2">
        <v>84.350136578000004</v>
      </c>
      <c r="E8" s="2">
        <v>50.550374139000006</v>
      </c>
      <c r="F8" s="2">
        <v>41.408290385000001</v>
      </c>
      <c r="G8" s="2">
        <v>37.662347449999999</v>
      </c>
      <c r="H8" s="2">
        <v>46.461658397999997</v>
      </c>
      <c r="I8" s="2">
        <v>51.233943769999996</v>
      </c>
      <c r="J8" s="2">
        <v>38.731652411000006</v>
      </c>
      <c r="K8" s="2">
        <v>23.711551192999998</v>
      </c>
      <c r="L8" s="2">
        <v>800.19482972399999</v>
      </c>
      <c r="M8" s="2">
        <v>-507.86679434600006</v>
      </c>
      <c r="N8" s="2">
        <v>26.973721346999998</v>
      </c>
      <c r="O8" s="2">
        <v>76.689950639999992</v>
      </c>
      <c r="P8" s="2">
        <v>99.45863340199999</v>
      </c>
      <c r="Q8" s="2">
        <v>49.885154571999998</v>
      </c>
      <c r="R8" s="2">
        <v>56.197133672</v>
      </c>
      <c r="S8" s="2">
        <v>68.484960255000004</v>
      </c>
      <c r="T8" s="2">
        <v>157.469405467</v>
      </c>
      <c r="U8" s="2">
        <v>95.903056351000004</v>
      </c>
      <c r="V8" s="2">
        <v>87.165094662999991</v>
      </c>
      <c r="W8" s="2">
        <v>112.858842028</v>
      </c>
      <c r="X8" s="2">
        <v>45.836906061000001</v>
      </c>
      <c r="Y8" s="2">
        <v>73.921750345000007</v>
      </c>
      <c r="Z8" s="2">
        <v>65.76543255899999</v>
      </c>
      <c r="AA8" s="2">
        <v>85.248549010999994</v>
      </c>
      <c r="AB8" s="2">
        <v>86.934057711000008</v>
      </c>
      <c r="AC8" s="2">
        <v>71.896918922000012</v>
      </c>
      <c r="AD8" s="2">
        <v>76.83013348099999</v>
      </c>
      <c r="AE8" s="2">
        <v>73.241642716000001</v>
      </c>
      <c r="AF8" s="2">
        <v>79.782184434000001</v>
      </c>
      <c r="AG8" s="2">
        <v>69.105618862999989</v>
      </c>
      <c r="AH8" s="2">
        <v>84.651957358999994</v>
      </c>
      <c r="AI8" s="2">
        <v>68.067032565000005</v>
      </c>
      <c r="AJ8" s="2">
        <v>91.874077764999996</v>
      </c>
      <c r="AK8" s="2">
        <v>92.797547547999997</v>
      </c>
      <c r="AL8" s="2">
        <v>75.665544800999996</v>
      </c>
      <c r="AM8" s="2">
        <v>69.941009536999999</v>
      </c>
      <c r="AN8" s="2">
        <v>90.78567249999999</v>
      </c>
      <c r="AO8" s="2">
        <v>70.707792068000003</v>
      </c>
      <c r="AP8" s="2">
        <v>99.804270991999999</v>
      </c>
      <c r="AQ8" s="2">
        <v>89.047643125000008</v>
      </c>
      <c r="AR8" s="2">
        <v>104.60649843200001</v>
      </c>
      <c r="AS8" s="2">
        <v>84.264284519000014</v>
      </c>
      <c r="AT8" s="2">
        <v>71.366651649000005</v>
      </c>
      <c r="AU8" s="2">
        <v>131.376338438</v>
      </c>
      <c r="AV8" s="2">
        <v>97.664355897000007</v>
      </c>
      <c r="AW8" s="2">
        <v>106.74634119899999</v>
      </c>
      <c r="AX8" s="2">
        <v>121.58480186000001</v>
      </c>
      <c r="AY8" s="2">
        <v>90.804147847999999</v>
      </c>
      <c r="AZ8" s="2">
        <v>146.992953935</v>
      </c>
      <c r="BA8" s="2">
        <v>91.733877081000017</v>
      </c>
      <c r="BB8" s="2">
        <v>107.63232179000001</v>
      </c>
      <c r="BC8" s="2">
        <v>87.966687143000001</v>
      </c>
      <c r="BD8" s="2">
        <v>160.87961917100003</v>
      </c>
      <c r="BE8" s="2">
        <v>125.177384135</v>
      </c>
      <c r="BF8" s="2">
        <v>70.050165878999991</v>
      </c>
      <c r="BG8" s="2">
        <v>76.013009707000009</v>
      </c>
      <c r="BH8" s="2">
        <v>126.34506400399999</v>
      </c>
      <c r="BI8" s="2">
        <v>104.30211754000001</v>
      </c>
      <c r="BJ8" s="2">
        <v>93.738879163999997</v>
      </c>
      <c r="BK8" s="2">
        <v>122.94308522</v>
      </c>
      <c r="BL8" s="2">
        <v>96.414664248999998</v>
      </c>
      <c r="BM8" s="2">
        <v>140.53507034899999</v>
      </c>
      <c r="BN8" s="2">
        <v>138.455348684</v>
      </c>
      <c r="BO8" s="2">
        <v>90.145016074999987</v>
      </c>
      <c r="BP8" s="2">
        <v>117.667524896</v>
      </c>
      <c r="BQ8" s="2">
        <v>92.971127045999992</v>
      </c>
      <c r="BR8" s="2">
        <v>107.99710418600002</v>
      </c>
      <c r="BS8" s="2">
        <v>135.186715045</v>
      </c>
      <c r="BT8" s="2">
        <v>99.807687768000008</v>
      </c>
      <c r="BU8" s="2">
        <v>153.770072535</v>
      </c>
      <c r="BV8" s="2">
        <v>62.349423487999999</v>
      </c>
      <c r="BW8" s="2">
        <v>123.828762273</v>
      </c>
      <c r="BX8" s="2">
        <v>147.90362055099999</v>
      </c>
      <c r="BY8" s="2">
        <v>126.48163518300001</v>
      </c>
      <c r="BZ8" s="2">
        <v>77.824234798999996</v>
      </c>
      <c r="CA8" s="2">
        <v>143.73804542000002</v>
      </c>
      <c r="CB8" s="2">
        <v>89.373436710999982</v>
      </c>
      <c r="CC8" s="2">
        <v>128.72427118499999</v>
      </c>
      <c r="CD8" s="2">
        <v>122.085966304</v>
      </c>
      <c r="CE8" s="2">
        <v>141.91444634500002</v>
      </c>
      <c r="CF8" s="2">
        <v>149.13848088200001</v>
      </c>
      <c r="CG8" s="2">
        <v>178.34566058599998</v>
      </c>
      <c r="CH8" s="2">
        <v>99.403289858999997</v>
      </c>
      <c r="CI8" s="2">
        <v>181.443609286</v>
      </c>
      <c r="CJ8" s="2">
        <v>84.320789679000015</v>
      </c>
      <c r="CK8" s="2">
        <v>111.27178067899999</v>
      </c>
      <c r="CL8" s="2">
        <v>160.546956663</v>
      </c>
      <c r="CM8" s="2">
        <v>136.59856071499999</v>
      </c>
      <c r="CN8" s="2">
        <v>94.884116844999994</v>
      </c>
      <c r="CO8" s="2">
        <v>146.23219949900002</v>
      </c>
      <c r="CP8" s="2">
        <v>129.80160755899999</v>
      </c>
      <c r="CQ8" s="2">
        <v>167.31796518100001</v>
      </c>
      <c r="CR8" s="2">
        <v>130.38662137400001</v>
      </c>
      <c r="CS8" s="2">
        <v>335.37674876300002</v>
      </c>
      <c r="CT8" s="2">
        <v>121.39984986099999</v>
      </c>
      <c r="CU8" s="2">
        <v>107.853824769</v>
      </c>
      <c r="CV8" s="2">
        <v>187.80538448800002</v>
      </c>
      <c r="CW8" s="2">
        <v>176.50081509000003</v>
      </c>
      <c r="CX8" s="2">
        <v>124.89394838800001</v>
      </c>
      <c r="CY8" s="2">
        <v>209.23553252799999</v>
      </c>
      <c r="CZ8" s="2">
        <v>130.042037988</v>
      </c>
      <c r="DA8" s="2">
        <v>239.891760925</v>
      </c>
      <c r="DB8" s="2">
        <v>169.10069458999999</v>
      </c>
      <c r="DC8" s="2">
        <v>189.39871069700001</v>
      </c>
      <c r="DD8" s="2">
        <v>157.72684443700001</v>
      </c>
      <c r="DE8" s="2">
        <v>205.18451029200003</v>
      </c>
      <c r="DF8" s="2">
        <v>146.84817311899999</v>
      </c>
      <c r="DG8" s="2">
        <v>173.49532682999998</v>
      </c>
      <c r="DH8" s="2">
        <v>186.31733053200003</v>
      </c>
      <c r="DI8" s="2">
        <v>181.12490278399997</v>
      </c>
      <c r="DJ8" s="2">
        <v>173.63238132700002</v>
      </c>
      <c r="DK8" s="2">
        <v>179.65696194499998</v>
      </c>
      <c r="DL8" s="2">
        <v>198.95068562999998</v>
      </c>
      <c r="DM8" s="2">
        <v>193.18167240900002</v>
      </c>
      <c r="DN8" s="2">
        <v>156.087660142</v>
      </c>
      <c r="DO8" s="2">
        <v>209.354470566</v>
      </c>
      <c r="DP8" s="2">
        <v>186.42096674800001</v>
      </c>
      <c r="DQ8" s="2">
        <v>158.61367226000002</v>
      </c>
      <c r="DR8" s="2">
        <v>176.96897347899997</v>
      </c>
      <c r="DS8" s="2">
        <v>149.48556777900001</v>
      </c>
      <c r="DT8" s="2">
        <v>186.46232088400001</v>
      </c>
      <c r="DU8" s="2">
        <v>171.35193726499998</v>
      </c>
      <c r="DV8" s="2">
        <v>175.203839676</v>
      </c>
      <c r="DW8" s="2">
        <v>145.43021301300001</v>
      </c>
      <c r="DX8" s="2">
        <v>160.689797994</v>
      </c>
      <c r="DY8" s="2">
        <v>136.72763849700002</v>
      </c>
      <c r="DZ8" s="2">
        <v>193.04241530799999</v>
      </c>
      <c r="EA8" s="2">
        <v>169.00394977899998</v>
      </c>
      <c r="EB8" s="2">
        <v>196.09667131699999</v>
      </c>
      <c r="EC8" s="2">
        <v>194.88576557300001</v>
      </c>
      <c r="ED8" s="2">
        <v>208.99751394</v>
      </c>
      <c r="EE8" s="2">
        <v>165.65300763400001</v>
      </c>
      <c r="EF8" s="2">
        <v>205.59716128400001</v>
      </c>
      <c r="EG8" s="2">
        <v>210.10248772199998</v>
      </c>
      <c r="EH8" s="2">
        <v>206.45425534100002</v>
      </c>
      <c r="EI8" s="2">
        <v>189.19637242200002</v>
      </c>
      <c r="EJ8" s="2">
        <v>205.859262441</v>
      </c>
      <c r="EK8" s="2">
        <v>199.93855577900001</v>
      </c>
      <c r="EL8" s="2">
        <v>256.94639834199995</v>
      </c>
      <c r="EM8" s="2">
        <v>245.48602027099997</v>
      </c>
      <c r="EN8" s="2">
        <v>197.70248558899999</v>
      </c>
      <c r="EO8" s="2">
        <v>205.86935407800001</v>
      </c>
      <c r="EP8" s="2">
        <v>194.64688676400002</v>
      </c>
      <c r="EQ8" s="2">
        <v>171.12583090800001</v>
      </c>
      <c r="ER8" s="2">
        <v>235.26741561599999</v>
      </c>
      <c r="ES8" s="2">
        <v>197.60555806400001</v>
      </c>
      <c r="ET8" s="2">
        <v>179.37899935500002</v>
      </c>
      <c r="EU8" s="2">
        <v>202.290867303</v>
      </c>
      <c r="EV8" s="2">
        <v>199.250566435</v>
      </c>
      <c r="EW8" s="2">
        <v>184.336279891</v>
      </c>
      <c r="EX8" s="2">
        <v>225.28339480400001</v>
      </c>
      <c r="EY8" s="2">
        <v>184.970087608</v>
      </c>
      <c r="EZ8" s="2">
        <v>196.06225622299999</v>
      </c>
      <c r="FA8" s="2">
        <v>256.60118861400002</v>
      </c>
      <c r="FB8" s="2">
        <v>225.54810522700001</v>
      </c>
      <c r="FC8" s="2">
        <v>161.52433588299999</v>
      </c>
      <c r="FD8" s="2">
        <v>212.87393477699999</v>
      </c>
      <c r="FE8" s="2">
        <v>213.18220425199999</v>
      </c>
      <c r="FF8" s="2">
        <v>227.661367592</v>
      </c>
      <c r="FG8" s="2">
        <v>190.52411029299998</v>
      </c>
      <c r="FH8" s="2">
        <v>185.31144180699999</v>
      </c>
      <c r="FI8" s="2">
        <v>259.903725597</v>
      </c>
      <c r="FJ8" s="2">
        <v>211.68191839100001</v>
      </c>
      <c r="FK8" s="2">
        <v>200.49142195499999</v>
      </c>
      <c r="FL8" s="2">
        <v>224.357156796</v>
      </c>
      <c r="FM8" s="2">
        <v>237.44097126900004</v>
      </c>
      <c r="FN8" s="2">
        <v>231.829652348</v>
      </c>
      <c r="FO8" s="2">
        <v>211.78417609100001</v>
      </c>
      <c r="FP8" s="2">
        <v>239.84112276499999</v>
      </c>
      <c r="FQ8" s="2">
        <v>217.67382103</v>
      </c>
      <c r="FR8" s="2">
        <v>275.32453766699996</v>
      </c>
      <c r="FS8" s="2">
        <v>230.83166955600001</v>
      </c>
      <c r="FT8" s="2">
        <v>214.76141086500002</v>
      </c>
      <c r="FU8" s="2">
        <v>261.736594373</v>
      </c>
      <c r="FV8" s="2">
        <v>239.58875771799998</v>
      </c>
      <c r="FW8" s="2">
        <v>225.45239663799998</v>
      </c>
      <c r="FX8" s="2">
        <v>236.350463972</v>
      </c>
      <c r="FY8" s="2">
        <v>302.60666742900003</v>
      </c>
      <c r="FZ8" s="2">
        <v>281.01782567699996</v>
      </c>
      <c r="GA8" s="2">
        <v>216.74507583499999</v>
      </c>
      <c r="GB8" s="22">
        <v>263.50008350799999</v>
      </c>
      <c r="GC8" s="22">
        <v>290.23656719400003</v>
      </c>
      <c r="GD8" s="22">
        <v>276.55560861999999</v>
      </c>
      <c r="GE8" s="22">
        <v>292.31181832700003</v>
      </c>
      <c r="GF8" s="22">
        <v>234.87651258899999</v>
      </c>
      <c r="GG8" s="22">
        <v>257.49698394300003</v>
      </c>
      <c r="GH8" s="22">
        <v>269.25764235600002</v>
      </c>
      <c r="GI8" s="22">
        <v>293.93412991600002</v>
      </c>
      <c r="GJ8" s="22">
        <v>271.813720241</v>
      </c>
      <c r="GK8" s="22">
        <v>246.29502634099998</v>
      </c>
      <c r="GL8" s="23">
        <v>240.53051226099998</v>
      </c>
      <c r="GM8" s="23">
        <v>252.831478801</v>
      </c>
      <c r="GN8" s="23">
        <v>259.71104602499997</v>
      </c>
      <c r="GO8" s="23">
        <v>252.29858872</v>
      </c>
      <c r="GP8" s="23">
        <v>275.29810107600002</v>
      </c>
      <c r="GQ8" s="23">
        <v>192.79592406800001</v>
      </c>
      <c r="GR8" s="23">
        <v>270.75279067000002</v>
      </c>
      <c r="GS8" s="23">
        <v>251.01420989399998</v>
      </c>
      <c r="GT8" s="23">
        <v>248.34416748899997</v>
      </c>
      <c r="GU8" s="23">
        <v>264.85025871900001</v>
      </c>
      <c r="GV8" s="23">
        <v>233.61333604800001</v>
      </c>
      <c r="GW8" s="23">
        <v>278.847938919</v>
      </c>
      <c r="GX8" s="23">
        <v>250.287635115</v>
      </c>
      <c r="GY8" s="23">
        <v>285.909747294</v>
      </c>
      <c r="GZ8" s="23">
        <v>266.36609341899998</v>
      </c>
      <c r="HA8" s="23">
        <v>123.417600355</v>
      </c>
      <c r="HB8" s="23">
        <v>180.626127897</v>
      </c>
      <c r="HC8" s="23">
        <v>238.82287888100001</v>
      </c>
      <c r="HD8" s="23">
        <v>225.63882057699999</v>
      </c>
      <c r="HE8" s="23">
        <v>243.40817111500002</v>
      </c>
      <c r="HF8" s="23"/>
      <c r="HG8" s="23"/>
      <c r="HH8" s="23"/>
      <c r="HI8" s="23"/>
    </row>
    <row r="9" spans="1:217">
      <c r="A9" s="29" t="s">
        <v>54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2.8141999999999999E-5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1E-4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1E-4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3.2661499999999999E-4</v>
      </c>
      <c r="DU9" s="2">
        <v>3.2661499999999999E-4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2">
        <v>0</v>
      </c>
      <c r="GC9" s="22">
        <v>0</v>
      </c>
      <c r="GD9" s="22">
        <v>0</v>
      </c>
      <c r="GE9" s="22">
        <v>0</v>
      </c>
      <c r="GF9" s="22">
        <v>0</v>
      </c>
      <c r="GG9" s="22">
        <v>0</v>
      </c>
      <c r="GH9" s="22">
        <v>0</v>
      </c>
      <c r="GI9" s="22">
        <v>0</v>
      </c>
      <c r="GJ9" s="22">
        <v>0</v>
      </c>
      <c r="GK9" s="22">
        <v>0</v>
      </c>
      <c r="GL9" s="23">
        <v>0</v>
      </c>
      <c r="GM9" s="23">
        <v>0</v>
      </c>
      <c r="GN9" s="23">
        <v>0</v>
      </c>
      <c r="GO9" s="23">
        <v>0</v>
      </c>
      <c r="GP9" s="23">
        <v>0</v>
      </c>
      <c r="GQ9" s="23">
        <v>0</v>
      </c>
      <c r="GR9" s="23">
        <v>0</v>
      </c>
      <c r="GS9" s="23">
        <v>0</v>
      </c>
      <c r="GT9" s="23">
        <v>0</v>
      </c>
      <c r="GU9" s="23">
        <v>0</v>
      </c>
      <c r="GV9" s="23">
        <v>0</v>
      </c>
      <c r="GW9" s="23">
        <v>0</v>
      </c>
      <c r="GX9" s="23">
        <v>0</v>
      </c>
      <c r="GY9" s="23">
        <v>0</v>
      </c>
      <c r="GZ9" s="23">
        <v>0</v>
      </c>
      <c r="HA9" s="23">
        <v>0</v>
      </c>
      <c r="HB9" s="23">
        <v>0</v>
      </c>
      <c r="HC9" s="23">
        <v>0</v>
      </c>
      <c r="HD9" s="23">
        <v>0</v>
      </c>
      <c r="HE9" s="23">
        <v>0</v>
      </c>
      <c r="HF9" s="23"/>
      <c r="HG9" s="23"/>
      <c r="HH9" s="23"/>
      <c r="HI9" s="23"/>
    </row>
    <row r="10" spans="1:217">
      <c r="A10" s="29" t="s">
        <v>55</v>
      </c>
      <c r="B10" s="2">
        <v>16.822998175999999</v>
      </c>
      <c r="C10" s="2">
        <v>12.693107904</v>
      </c>
      <c r="D10" s="2">
        <v>63.473442511999998</v>
      </c>
      <c r="E10" s="2">
        <v>34.835884275000005</v>
      </c>
      <c r="F10" s="2">
        <v>40.852028233000006</v>
      </c>
      <c r="G10" s="2">
        <v>39.929917186000004</v>
      </c>
      <c r="H10" s="2">
        <v>40.316221921999997</v>
      </c>
      <c r="I10" s="2">
        <v>45.702054946999993</v>
      </c>
      <c r="J10" s="2">
        <v>51.844324523999994</v>
      </c>
      <c r="K10" s="2">
        <v>44.008627021000002</v>
      </c>
      <c r="L10" s="2">
        <v>79.603468081999992</v>
      </c>
      <c r="M10" s="2">
        <v>79.545122763999998</v>
      </c>
      <c r="N10" s="2">
        <v>42.069740383000003</v>
      </c>
      <c r="O10" s="2">
        <v>79.071728585999992</v>
      </c>
      <c r="P10" s="2">
        <v>54.708334186999998</v>
      </c>
      <c r="Q10" s="2">
        <v>50.856794111000006</v>
      </c>
      <c r="R10" s="2">
        <v>54.118193368</v>
      </c>
      <c r="S10" s="2">
        <v>59.134437164000005</v>
      </c>
      <c r="T10" s="2">
        <v>23.706166544000002</v>
      </c>
      <c r="U10" s="2">
        <v>74.600158198000003</v>
      </c>
      <c r="V10" s="2">
        <v>53.060352720999994</v>
      </c>
      <c r="W10" s="2">
        <v>129.25328459400001</v>
      </c>
      <c r="X10" s="2">
        <v>215.64869354800001</v>
      </c>
      <c r="Y10" s="2">
        <v>75.190203502000003</v>
      </c>
      <c r="Z10" s="2">
        <v>29.174608653000003</v>
      </c>
      <c r="AA10" s="2">
        <v>60.795788707999989</v>
      </c>
      <c r="AB10" s="2">
        <v>53.380965353999997</v>
      </c>
      <c r="AC10" s="2">
        <v>53.488574240999995</v>
      </c>
      <c r="AD10" s="2">
        <v>64.368456031999997</v>
      </c>
      <c r="AE10" s="2">
        <v>73.032960706000011</v>
      </c>
      <c r="AF10" s="2">
        <v>58.849271060999996</v>
      </c>
      <c r="AG10" s="2">
        <v>70.036887559000007</v>
      </c>
      <c r="AH10" s="2">
        <v>63.704055625999999</v>
      </c>
      <c r="AI10" s="2">
        <v>77.073650278000002</v>
      </c>
      <c r="AJ10" s="2">
        <v>71.887985923000002</v>
      </c>
      <c r="AK10" s="2">
        <v>94.352641603999999</v>
      </c>
      <c r="AL10" s="2">
        <v>60.471830380999997</v>
      </c>
      <c r="AM10" s="2">
        <v>64.684124001000001</v>
      </c>
      <c r="AN10" s="2">
        <v>70.912060448999995</v>
      </c>
      <c r="AO10" s="2">
        <v>54.499374158000009</v>
      </c>
      <c r="AP10" s="2">
        <v>65.743545217000005</v>
      </c>
      <c r="AQ10" s="2">
        <v>57.79631359199999</v>
      </c>
      <c r="AR10" s="2">
        <v>59.627771791000001</v>
      </c>
      <c r="AS10" s="2">
        <v>69.88997835699999</v>
      </c>
      <c r="AT10" s="2">
        <v>64.437281372000001</v>
      </c>
      <c r="AU10" s="2">
        <v>73.470799223</v>
      </c>
      <c r="AV10" s="2">
        <v>74.037852739000016</v>
      </c>
      <c r="AW10" s="2">
        <v>64.407744758000007</v>
      </c>
      <c r="AX10" s="2">
        <v>61.345602375000006</v>
      </c>
      <c r="AY10" s="2">
        <v>63.421149861000004</v>
      </c>
      <c r="AZ10" s="2">
        <v>70.063147146999995</v>
      </c>
      <c r="BA10" s="2">
        <v>48.885108929000005</v>
      </c>
      <c r="BB10" s="2">
        <v>65.061189631000005</v>
      </c>
      <c r="BC10" s="2">
        <v>59.367486317999997</v>
      </c>
      <c r="BD10" s="2">
        <v>70.098608892000001</v>
      </c>
      <c r="BE10" s="2">
        <v>76.851106528000003</v>
      </c>
      <c r="BF10" s="2">
        <v>59.038451092999999</v>
      </c>
      <c r="BG10" s="2">
        <v>80.719969571000007</v>
      </c>
      <c r="BH10" s="2">
        <v>92.007813573000007</v>
      </c>
      <c r="BI10" s="2">
        <v>90.754309122999999</v>
      </c>
      <c r="BJ10" s="2">
        <v>80.212001952999998</v>
      </c>
      <c r="BK10" s="2">
        <v>91.345708424999984</v>
      </c>
      <c r="BL10" s="2">
        <v>79.394140682</v>
      </c>
      <c r="BM10" s="2">
        <v>79.885884691000001</v>
      </c>
      <c r="BN10" s="2">
        <v>71.572256521999989</v>
      </c>
      <c r="BO10" s="2">
        <v>75.977621898999999</v>
      </c>
      <c r="BP10" s="2">
        <v>90.637412593999997</v>
      </c>
      <c r="BQ10" s="2">
        <v>83.304943993999998</v>
      </c>
      <c r="BR10" s="2">
        <v>103.68530596399999</v>
      </c>
      <c r="BS10" s="2">
        <v>112.30391333199999</v>
      </c>
      <c r="BT10" s="2">
        <v>98.158631845999992</v>
      </c>
      <c r="BU10" s="2">
        <v>95.145858496999992</v>
      </c>
      <c r="BV10" s="2">
        <v>80.357385692999998</v>
      </c>
      <c r="BW10" s="2">
        <v>79.572569677999994</v>
      </c>
      <c r="BX10" s="2">
        <v>84.692875296999986</v>
      </c>
      <c r="BY10" s="2">
        <v>69.934036582000005</v>
      </c>
      <c r="BZ10" s="2">
        <v>67.058576346999999</v>
      </c>
      <c r="CA10" s="2">
        <v>73.656936404999996</v>
      </c>
      <c r="CB10" s="2">
        <v>85.789547258999988</v>
      </c>
      <c r="CC10" s="2">
        <v>76.102838867000003</v>
      </c>
      <c r="CD10" s="2">
        <v>72.822798628000001</v>
      </c>
      <c r="CE10" s="2">
        <v>90.827693740000001</v>
      </c>
      <c r="CF10" s="2">
        <v>93.186914776999998</v>
      </c>
      <c r="CG10" s="2">
        <v>103.420909314</v>
      </c>
      <c r="CH10" s="2">
        <v>87.738132319000002</v>
      </c>
      <c r="CI10" s="2">
        <v>103.783972671</v>
      </c>
      <c r="CJ10" s="2">
        <v>112.04115102900001</v>
      </c>
      <c r="CK10" s="2">
        <v>109.159891242</v>
      </c>
      <c r="CL10" s="2">
        <v>109.67167282800001</v>
      </c>
      <c r="CM10" s="2">
        <v>127.203970439</v>
      </c>
      <c r="CN10" s="2">
        <v>122.41493901100002</v>
      </c>
      <c r="CO10" s="2">
        <v>137.54392699900001</v>
      </c>
      <c r="CP10" s="2">
        <v>134.05395976599999</v>
      </c>
      <c r="CQ10" s="2">
        <v>164.05890241200004</v>
      </c>
      <c r="CR10" s="2">
        <v>159.686757707</v>
      </c>
      <c r="CS10" s="2">
        <v>158.26113451699999</v>
      </c>
      <c r="CT10" s="2">
        <v>148.31182760599998</v>
      </c>
      <c r="CU10" s="2">
        <v>130.47986021699998</v>
      </c>
      <c r="CV10" s="2">
        <v>160.10849421500001</v>
      </c>
      <c r="CW10" s="2">
        <v>122.722776397</v>
      </c>
      <c r="CX10" s="2">
        <v>141.79874975999999</v>
      </c>
      <c r="CY10" s="2">
        <v>126.42133758600001</v>
      </c>
      <c r="CZ10" s="2">
        <v>109.91562033800001</v>
      </c>
      <c r="DA10" s="2">
        <v>134.69488324999998</v>
      </c>
      <c r="DB10" s="2">
        <v>144.98057155900003</v>
      </c>
      <c r="DC10" s="2">
        <v>162.923100181</v>
      </c>
      <c r="DD10" s="2">
        <v>167.770828671</v>
      </c>
      <c r="DE10" s="2">
        <v>153.82742345600002</v>
      </c>
      <c r="DF10" s="2">
        <v>126.06889046600001</v>
      </c>
      <c r="DG10" s="2">
        <v>124.743544712</v>
      </c>
      <c r="DH10" s="2">
        <v>120.85740837600001</v>
      </c>
      <c r="DI10" s="2">
        <v>126.085365835</v>
      </c>
      <c r="DJ10" s="2">
        <v>151.91613733199998</v>
      </c>
      <c r="DK10" s="2">
        <v>128.30540550000001</v>
      </c>
      <c r="DL10" s="2">
        <v>137.28388670699999</v>
      </c>
      <c r="DM10" s="2">
        <v>147.38864944800002</v>
      </c>
      <c r="DN10" s="2">
        <v>149.34176882999998</v>
      </c>
      <c r="DO10" s="2">
        <v>154.06091741399999</v>
      </c>
      <c r="DP10" s="2">
        <v>147.18394359900003</v>
      </c>
      <c r="DQ10" s="2">
        <v>128.84471973300001</v>
      </c>
      <c r="DR10" s="2">
        <v>134.374619997</v>
      </c>
      <c r="DS10" s="2">
        <v>113.94636264799999</v>
      </c>
      <c r="DT10" s="2">
        <v>103.672804605</v>
      </c>
      <c r="DU10" s="2">
        <v>137.40337645099999</v>
      </c>
      <c r="DV10" s="2">
        <v>125.146103514</v>
      </c>
      <c r="DW10" s="2">
        <v>118.973442484</v>
      </c>
      <c r="DX10" s="2">
        <v>128.033194141</v>
      </c>
      <c r="DY10" s="2">
        <v>143.77887824699999</v>
      </c>
      <c r="DZ10" s="2">
        <v>146.48064151100002</v>
      </c>
      <c r="EA10" s="2">
        <v>169.42762078800001</v>
      </c>
      <c r="EB10" s="2">
        <v>147.36412478000003</v>
      </c>
      <c r="EC10" s="2">
        <v>163.306546481</v>
      </c>
      <c r="ED10" s="2">
        <v>144.04653125600001</v>
      </c>
      <c r="EE10" s="2">
        <v>143.37379148899998</v>
      </c>
      <c r="EF10" s="2">
        <v>136.16540753500001</v>
      </c>
      <c r="EG10" s="2">
        <v>126.519339547</v>
      </c>
      <c r="EH10" s="2">
        <v>141.355775376</v>
      </c>
      <c r="EI10" s="2">
        <v>142.531718036</v>
      </c>
      <c r="EJ10" s="2">
        <v>151.35114255799999</v>
      </c>
      <c r="EK10" s="2">
        <v>139.00527942099998</v>
      </c>
      <c r="EL10" s="2">
        <v>141.45566928600002</v>
      </c>
      <c r="EM10" s="2">
        <v>202.896073376</v>
      </c>
      <c r="EN10" s="2">
        <v>151.30268824200002</v>
      </c>
      <c r="EO10" s="2">
        <v>167.7039963</v>
      </c>
      <c r="EP10" s="2">
        <v>139.21025672100001</v>
      </c>
      <c r="EQ10" s="2">
        <v>125.49830660500001</v>
      </c>
      <c r="ER10" s="2">
        <v>134.42641286400001</v>
      </c>
      <c r="ES10" s="2">
        <v>136.60865284300002</v>
      </c>
      <c r="ET10" s="2">
        <v>118.38388890399999</v>
      </c>
      <c r="EU10" s="2">
        <v>131.71547008100001</v>
      </c>
      <c r="EV10" s="2">
        <v>140.88201311899999</v>
      </c>
      <c r="EW10" s="2">
        <v>138.50517461799998</v>
      </c>
      <c r="EX10" s="2">
        <v>150.60650542200003</v>
      </c>
      <c r="EY10" s="2">
        <v>158.42660311900002</v>
      </c>
      <c r="EZ10" s="2">
        <v>145.72267218499999</v>
      </c>
      <c r="FA10" s="2">
        <v>152.43106649200001</v>
      </c>
      <c r="FB10" s="2">
        <v>131.26150561099999</v>
      </c>
      <c r="FC10" s="2">
        <v>118.43810408900001</v>
      </c>
      <c r="FD10" s="2">
        <v>126.26394405400001</v>
      </c>
      <c r="FE10" s="2">
        <v>106.96123466799999</v>
      </c>
      <c r="FF10" s="2">
        <v>132.125268293</v>
      </c>
      <c r="FG10" s="2">
        <v>131.71528711800002</v>
      </c>
      <c r="FH10" s="2">
        <v>105.326566903</v>
      </c>
      <c r="FI10" s="2">
        <v>147.057949186</v>
      </c>
      <c r="FJ10" s="2">
        <v>155.13336765700001</v>
      </c>
      <c r="FK10" s="2">
        <v>151.55079439100001</v>
      </c>
      <c r="FL10" s="2">
        <v>163.68681743400001</v>
      </c>
      <c r="FM10" s="2">
        <v>175.47285211399998</v>
      </c>
      <c r="FN10" s="2">
        <v>145.381645859</v>
      </c>
      <c r="FO10" s="2">
        <v>145.24609868499996</v>
      </c>
      <c r="FP10" s="2">
        <v>180.95625468</v>
      </c>
      <c r="FQ10" s="2">
        <v>149.574698509</v>
      </c>
      <c r="FR10" s="2">
        <v>176.677637304</v>
      </c>
      <c r="FS10" s="2">
        <v>163.77760136399999</v>
      </c>
      <c r="FT10" s="2">
        <v>177.022916232</v>
      </c>
      <c r="FU10" s="2">
        <v>207.20671562300001</v>
      </c>
      <c r="FV10" s="2">
        <v>199.299740009</v>
      </c>
      <c r="FW10" s="2">
        <v>215.60886236099998</v>
      </c>
      <c r="FX10" s="2">
        <v>231.94273999900003</v>
      </c>
      <c r="FY10" s="2">
        <v>215.19830485899999</v>
      </c>
      <c r="FZ10" s="2">
        <v>209.67912551900002</v>
      </c>
      <c r="GA10" s="2">
        <v>189.78474419600002</v>
      </c>
      <c r="GB10" s="22">
        <v>209.93902335999999</v>
      </c>
      <c r="GC10" s="22">
        <v>210.83107495499999</v>
      </c>
      <c r="GD10" s="22">
        <v>184.18202836899999</v>
      </c>
      <c r="GE10" s="22">
        <v>190.70690192699999</v>
      </c>
      <c r="GF10" s="22">
        <v>194.30714616899999</v>
      </c>
      <c r="GG10" s="22">
        <v>237.244079699</v>
      </c>
      <c r="GH10" s="22">
        <v>211.01776208699999</v>
      </c>
      <c r="GI10" s="22">
        <v>243.19911968100001</v>
      </c>
      <c r="GJ10" s="22">
        <v>237.415762855</v>
      </c>
      <c r="GK10" s="22">
        <v>202.50053010599999</v>
      </c>
      <c r="GL10" s="23">
        <v>208.65159090700001</v>
      </c>
      <c r="GM10" s="23">
        <v>189.41942199900001</v>
      </c>
      <c r="GN10" s="23">
        <v>181.79412428599997</v>
      </c>
      <c r="GO10" s="23">
        <v>189.65992117199997</v>
      </c>
      <c r="GP10" s="23">
        <v>198.50955653299999</v>
      </c>
      <c r="GQ10" s="23">
        <v>154.673367692</v>
      </c>
      <c r="GR10" s="23">
        <v>219.914374251</v>
      </c>
      <c r="GS10" s="23">
        <v>209.89812959400001</v>
      </c>
      <c r="GT10" s="23">
        <v>204.99577531700001</v>
      </c>
      <c r="GU10" s="23">
        <v>225.06730603400001</v>
      </c>
      <c r="GV10" s="23">
        <v>219.324641773</v>
      </c>
      <c r="GW10" s="23">
        <v>219.154271311</v>
      </c>
      <c r="GX10" s="23">
        <v>258.12512878699999</v>
      </c>
      <c r="GY10" s="23">
        <v>191.01559684599999</v>
      </c>
      <c r="GZ10" s="23">
        <v>156.322268982</v>
      </c>
      <c r="HA10" s="23">
        <v>81.676517967999999</v>
      </c>
      <c r="HB10" s="23">
        <v>113.219840619</v>
      </c>
      <c r="HC10" s="23">
        <v>144.36443016199999</v>
      </c>
      <c r="HD10" s="23">
        <v>173.45139616</v>
      </c>
      <c r="HE10" s="23">
        <v>162.968976785</v>
      </c>
      <c r="HF10" s="23"/>
      <c r="HG10" s="23"/>
      <c r="HH10" s="23"/>
      <c r="HI10" s="23"/>
    </row>
    <row r="11" spans="1:217">
      <c r="A11" s="31" t="s">
        <v>56</v>
      </c>
      <c r="B11" s="2">
        <v>171.80066233400001</v>
      </c>
      <c r="C11" s="2">
        <v>172.805826239</v>
      </c>
      <c r="D11" s="2">
        <v>-37.133103755</v>
      </c>
      <c r="E11" s="2">
        <v>144.51987645599999</v>
      </c>
      <c r="F11" s="2">
        <v>137.55078643799999</v>
      </c>
      <c r="G11" s="2">
        <v>91.593364281999996</v>
      </c>
      <c r="H11" s="2">
        <v>158.00630690900002</v>
      </c>
      <c r="I11" s="2">
        <v>96.854016751999978</v>
      </c>
      <c r="J11" s="2">
        <v>167.69212469599998</v>
      </c>
      <c r="K11" s="2">
        <v>196.05122674899999</v>
      </c>
      <c r="L11" s="2">
        <v>-1144.427106307</v>
      </c>
      <c r="M11" s="2">
        <v>-26.927643326999998</v>
      </c>
      <c r="N11" s="2">
        <v>183.19113678000002</v>
      </c>
      <c r="O11" s="2">
        <v>26.30766547</v>
      </c>
      <c r="P11" s="2">
        <v>-168.19654211900001</v>
      </c>
      <c r="Q11" s="2">
        <v>187.00287435800001</v>
      </c>
      <c r="R11" s="2">
        <v>253.156313149</v>
      </c>
      <c r="S11" s="2">
        <v>146.50994112900003</v>
      </c>
      <c r="T11" s="2">
        <v>-336.48907669000005</v>
      </c>
      <c r="U11" s="2">
        <v>24.868287841999997</v>
      </c>
      <c r="V11" s="2">
        <v>21.657006934999998</v>
      </c>
      <c r="W11" s="2">
        <v>-100.14856307500001</v>
      </c>
      <c r="X11" s="2">
        <v>5.4537177320000003</v>
      </c>
      <c r="Y11" s="2">
        <v>-51.655205269999996</v>
      </c>
      <c r="Z11" s="2">
        <v>122.40735353000001</v>
      </c>
      <c r="AA11" s="2">
        <v>1.8206330509999991</v>
      </c>
      <c r="AB11" s="2">
        <v>19.539710893999999</v>
      </c>
      <c r="AC11" s="2">
        <v>62.656690333999997</v>
      </c>
      <c r="AD11" s="2">
        <v>51.637683203000009</v>
      </c>
      <c r="AE11" s="2">
        <v>-31.167284960000003</v>
      </c>
      <c r="AF11" s="2">
        <v>55.565547227000003</v>
      </c>
      <c r="AG11" s="2">
        <v>46.501250316000004</v>
      </c>
      <c r="AH11" s="2">
        <v>9.7540999939999971</v>
      </c>
      <c r="AI11" s="2">
        <v>83.207854533999992</v>
      </c>
      <c r="AJ11" s="2">
        <v>35.923648880000002</v>
      </c>
      <c r="AK11" s="2">
        <v>-75.807093927999986</v>
      </c>
      <c r="AL11" s="2">
        <v>101.59391893900001</v>
      </c>
      <c r="AM11" s="2">
        <v>48.956529481000004</v>
      </c>
      <c r="AN11" s="2">
        <v>65.934806992000006</v>
      </c>
      <c r="AO11" s="2">
        <v>102.303057888</v>
      </c>
      <c r="AP11" s="2">
        <v>75.198932925999998</v>
      </c>
      <c r="AQ11" s="2">
        <v>35.490866154999992</v>
      </c>
      <c r="AR11" s="2">
        <v>42.056254455000001</v>
      </c>
      <c r="AS11" s="2">
        <v>-56.365803342</v>
      </c>
      <c r="AT11" s="2">
        <v>54.796302256000004</v>
      </c>
      <c r="AU11" s="2">
        <v>-82.278378526999987</v>
      </c>
      <c r="AV11" s="2">
        <v>47.674259157000002</v>
      </c>
      <c r="AW11" s="2">
        <v>-11.041049307000002</v>
      </c>
      <c r="AX11" s="2">
        <v>103.68420010000001</v>
      </c>
      <c r="AY11" s="2">
        <v>121.89321467800001</v>
      </c>
      <c r="AZ11" s="2">
        <v>207.323633933</v>
      </c>
      <c r="BA11" s="2">
        <v>372.62018763399999</v>
      </c>
      <c r="BB11" s="2">
        <v>296.41711183700005</v>
      </c>
      <c r="BC11" s="2">
        <v>219.71332953199999</v>
      </c>
      <c r="BD11" s="2">
        <v>-862.88365120700007</v>
      </c>
      <c r="BE11" s="2">
        <v>-214.34086513299999</v>
      </c>
      <c r="BF11" s="2">
        <v>-142.89333114399997</v>
      </c>
      <c r="BG11" s="2">
        <v>214.71499179699998</v>
      </c>
      <c r="BH11" s="2">
        <v>97.25148249099999</v>
      </c>
      <c r="BI11" s="2">
        <v>-291.79808203099998</v>
      </c>
      <c r="BJ11" s="2">
        <v>53.381907013999992</v>
      </c>
      <c r="BK11" s="2">
        <v>257.34247041200001</v>
      </c>
      <c r="BL11" s="2">
        <v>-32.565785876000007</v>
      </c>
      <c r="BM11" s="2">
        <v>202.46810779</v>
      </c>
      <c r="BN11" s="2">
        <v>-388.943384262</v>
      </c>
      <c r="BO11" s="2">
        <v>293.61357154399997</v>
      </c>
      <c r="BP11" s="2">
        <v>416.77268385999997</v>
      </c>
      <c r="BQ11" s="2">
        <v>-81.037776277999996</v>
      </c>
      <c r="BR11" s="2">
        <v>367.56830791699997</v>
      </c>
      <c r="BS11" s="2">
        <v>-405.80613525699999</v>
      </c>
      <c r="BT11" s="2">
        <v>-200.63736933000004</v>
      </c>
      <c r="BU11" s="2">
        <v>-363.87186447699997</v>
      </c>
      <c r="BV11" s="2">
        <v>305.10857552399995</v>
      </c>
      <c r="BW11" s="2">
        <v>-47.503099425000002</v>
      </c>
      <c r="BX11" s="2">
        <v>-17.683297446000001</v>
      </c>
      <c r="BY11" s="2">
        <v>-209.56997693099999</v>
      </c>
      <c r="BZ11" s="2">
        <v>21.031630085000003</v>
      </c>
      <c r="CA11" s="2">
        <v>-5.7621276020000005</v>
      </c>
      <c r="CB11" s="2">
        <v>10.120341273000001</v>
      </c>
      <c r="CC11" s="2">
        <v>12.443194456000001</v>
      </c>
      <c r="CD11" s="2">
        <v>0.56417143600000097</v>
      </c>
      <c r="CE11" s="2">
        <v>7.6930728340000014</v>
      </c>
      <c r="CF11" s="2">
        <v>9.7049407659999982</v>
      </c>
      <c r="CG11" s="2">
        <v>8.4959649129999999</v>
      </c>
      <c r="CH11" s="2">
        <v>8.1186357290000011</v>
      </c>
      <c r="CI11" s="2">
        <v>6.0583794900000001</v>
      </c>
      <c r="CJ11" s="2">
        <v>7.3938513559999999</v>
      </c>
      <c r="CK11" s="2">
        <v>9.7193680750000002</v>
      </c>
      <c r="CL11" s="2">
        <v>27.206786245</v>
      </c>
      <c r="CM11" s="2">
        <v>-9.8217620309999987</v>
      </c>
      <c r="CN11" s="2">
        <v>6.3908125020000002</v>
      </c>
      <c r="CO11" s="2">
        <v>8.1064559930000009</v>
      </c>
      <c r="CP11" s="2">
        <v>11.156203204000001</v>
      </c>
      <c r="CQ11" s="2">
        <v>10.306202779000001</v>
      </c>
      <c r="CR11" s="2">
        <v>8.423437345</v>
      </c>
      <c r="CS11" s="2">
        <v>5.5637930459999998</v>
      </c>
      <c r="CT11" s="2">
        <v>5.9059584679999997</v>
      </c>
      <c r="CU11" s="2">
        <v>6.9446438049999992</v>
      </c>
      <c r="CV11" s="2">
        <v>7.2248421940000007</v>
      </c>
      <c r="CW11" s="2">
        <v>9.5457980100000004</v>
      </c>
      <c r="CX11" s="2">
        <v>48.004768415000001</v>
      </c>
      <c r="CY11" s="2">
        <v>-29.661425543</v>
      </c>
      <c r="CZ11" s="2">
        <v>7.0251418629999991</v>
      </c>
      <c r="DA11" s="2">
        <v>5.1613582349999998</v>
      </c>
      <c r="DB11" s="2">
        <v>10.153724246000001</v>
      </c>
      <c r="DC11" s="2">
        <v>7.4442577300000012</v>
      </c>
      <c r="DD11" s="2">
        <v>7.241393372000001</v>
      </c>
      <c r="DE11" s="2">
        <v>6.4272721609999994</v>
      </c>
      <c r="DF11" s="2">
        <v>7.0023269710000005</v>
      </c>
      <c r="DG11" s="2">
        <v>6.5241890000000007</v>
      </c>
      <c r="DH11" s="2">
        <v>7.4302532940000008</v>
      </c>
      <c r="DI11" s="2">
        <v>8.9937000200000004</v>
      </c>
      <c r="DJ11" s="2">
        <v>58.003682647999995</v>
      </c>
      <c r="DK11" s="2">
        <v>-37.654460488999995</v>
      </c>
      <c r="DL11" s="2">
        <v>8.0005792200000023</v>
      </c>
      <c r="DM11" s="2">
        <v>10.080280578</v>
      </c>
      <c r="DN11" s="2">
        <v>5.9764521520000011</v>
      </c>
      <c r="DO11" s="2">
        <v>9.767768148</v>
      </c>
      <c r="DP11" s="2">
        <v>8.7067782860000005</v>
      </c>
      <c r="DQ11" s="2">
        <v>10.082138781000001</v>
      </c>
      <c r="DR11" s="2">
        <v>10.038190889000001</v>
      </c>
      <c r="DS11" s="2">
        <v>6.3758617139999991</v>
      </c>
      <c r="DT11" s="2">
        <v>7.0220379619999997</v>
      </c>
      <c r="DU11" s="2">
        <v>14.228907768999997</v>
      </c>
      <c r="DV11" s="2">
        <v>58.138984220999994</v>
      </c>
      <c r="DW11" s="2">
        <v>16.016887776000001</v>
      </c>
      <c r="DX11" s="2">
        <v>-43.538949846999991</v>
      </c>
      <c r="DY11" s="2">
        <v>12.221320425</v>
      </c>
      <c r="DZ11" s="2">
        <v>8.7101753000000013</v>
      </c>
      <c r="EA11" s="2">
        <v>30.349781107000002</v>
      </c>
      <c r="EB11" s="2">
        <v>9.3056605699999988</v>
      </c>
      <c r="EC11" s="2">
        <v>-7.8220162659999968</v>
      </c>
      <c r="ED11" s="2">
        <v>7.5045901929999994</v>
      </c>
      <c r="EE11" s="2">
        <v>8.0914254400000001</v>
      </c>
      <c r="EF11" s="2">
        <v>10.526916521999999</v>
      </c>
      <c r="EG11" s="2">
        <v>10.823627604000002</v>
      </c>
      <c r="EH11" s="2">
        <v>10.145561740000002</v>
      </c>
      <c r="EI11" s="2">
        <v>22.728098086999999</v>
      </c>
      <c r="EJ11" s="2">
        <v>13.938064864000001</v>
      </c>
      <c r="EK11" s="2">
        <v>11.975809526000001</v>
      </c>
      <c r="EL11" s="2">
        <v>19.409062468999998</v>
      </c>
      <c r="EM11" s="2">
        <v>12.060004340999999</v>
      </c>
      <c r="EN11" s="2">
        <v>11.265845903000001</v>
      </c>
      <c r="EO11" s="2">
        <v>46.442901338000006</v>
      </c>
      <c r="EP11" s="2">
        <v>10.170696710000001</v>
      </c>
      <c r="EQ11" s="2">
        <v>12.342446586000001</v>
      </c>
      <c r="ER11" s="2">
        <v>15.391405793000001</v>
      </c>
      <c r="ES11" s="2">
        <v>9.7774473820000001</v>
      </c>
      <c r="ET11" s="2">
        <v>14.697157558000001</v>
      </c>
      <c r="EU11" s="2">
        <v>27.885462486999998</v>
      </c>
      <c r="EV11" s="2">
        <v>22.476307924</v>
      </c>
      <c r="EW11" s="2">
        <v>24.500703232999999</v>
      </c>
      <c r="EX11" s="2">
        <v>30.653934211999996</v>
      </c>
      <c r="EY11" s="2">
        <v>41.829308926999992</v>
      </c>
      <c r="EZ11" s="2">
        <v>27.761739277999997</v>
      </c>
      <c r="FA11" s="2">
        <v>35.626334746999987</v>
      </c>
      <c r="FB11" s="2">
        <v>46.068822122</v>
      </c>
      <c r="FC11" s="2">
        <v>40.755154697999998</v>
      </c>
      <c r="FD11" s="2">
        <v>33.164602453000008</v>
      </c>
      <c r="FE11" s="2">
        <v>30.113414424999998</v>
      </c>
      <c r="FF11" s="2">
        <v>30.531154765</v>
      </c>
      <c r="FG11" s="2">
        <v>31.622726528000001</v>
      </c>
      <c r="FH11" s="2">
        <v>25.914413153999998</v>
      </c>
      <c r="FI11" s="2">
        <v>23.401581669999999</v>
      </c>
      <c r="FJ11" s="2">
        <v>28.313408458999998</v>
      </c>
      <c r="FK11" s="2">
        <v>27.386022199999999</v>
      </c>
      <c r="FL11" s="2">
        <v>6.7637251090000001</v>
      </c>
      <c r="FM11" s="2">
        <v>843.78694429800021</v>
      </c>
      <c r="FN11" s="2">
        <v>25.654287507999999</v>
      </c>
      <c r="FO11" s="2">
        <v>21.143526553000001</v>
      </c>
      <c r="FP11" s="2">
        <v>25.79729382</v>
      </c>
      <c r="FQ11" s="2">
        <v>28.677284221000001</v>
      </c>
      <c r="FR11" s="2">
        <v>33.600834016</v>
      </c>
      <c r="FS11" s="2">
        <v>36.344343528000003</v>
      </c>
      <c r="FT11" s="2">
        <v>49.264261025999993</v>
      </c>
      <c r="FU11" s="2">
        <v>32.046905239000004</v>
      </c>
      <c r="FV11" s="2">
        <v>33.536010200999996</v>
      </c>
      <c r="FW11" s="2">
        <v>55.528081979</v>
      </c>
      <c r="FX11" s="2">
        <v>35.613373174000003</v>
      </c>
      <c r="FY11" s="2">
        <v>30.219083459</v>
      </c>
      <c r="FZ11" s="2">
        <v>28.594311783999999</v>
      </c>
      <c r="GA11" s="2">
        <v>25.112834705000001</v>
      </c>
      <c r="GB11" s="22">
        <v>27.634466670999998</v>
      </c>
      <c r="GC11" s="22">
        <v>32.562885834999996</v>
      </c>
      <c r="GD11" s="22">
        <v>29.716738089</v>
      </c>
      <c r="GE11" s="22">
        <v>28.105351794999997</v>
      </c>
      <c r="GF11" s="22">
        <v>35.515319427999998</v>
      </c>
      <c r="GG11" s="22">
        <v>6.3149167100000021</v>
      </c>
      <c r="GH11" s="22">
        <v>28.42824903</v>
      </c>
      <c r="GI11" s="22">
        <v>25.634656292999999</v>
      </c>
      <c r="GJ11" s="22">
        <v>25.467069459999998</v>
      </c>
      <c r="GK11" s="22">
        <v>56.428073413000007</v>
      </c>
      <c r="GL11" s="23">
        <v>39.739498912999998</v>
      </c>
      <c r="GM11" s="23">
        <v>30.845043965000002</v>
      </c>
      <c r="GN11" s="23">
        <v>34.828953222999999</v>
      </c>
      <c r="GO11" s="23">
        <v>32.414849265999997</v>
      </c>
      <c r="GP11" s="23">
        <v>37.669712940000004</v>
      </c>
      <c r="GQ11" s="23">
        <v>30.495211260999998</v>
      </c>
      <c r="GR11" s="23">
        <v>40.938570936000005</v>
      </c>
      <c r="GS11" s="23">
        <v>34.522443355</v>
      </c>
      <c r="GT11" s="23">
        <v>30.668719065000005</v>
      </c>
      <c r="GU11" s="23">
        <v>33.853696711999994</v>
      </c>
      <c r="GV11" s="23">
        <v>42.471801989999989</v>
      </c>
      <c r="GW11" s="23">
        <v>38.728726869999996</v>
      </c>
      <c r="GX11" s="23">
        <v>8.6288413750000021</v>
      </c>
      <c r="GY11" s="23">
        <v>137.38040404199998</v>
      </c>
      <c r="GZ11" s="23">
        <v>-86.696575626000012</v>
      </c>
      <c r="HA11" s="23">
        <v>18.441259838000001</v>
      </c>
      <c r="HB11" s="23">
        <v>23.181152753999999</v>
      </c>
      <c r="HC11" s="23">
        <v>24.646080126999998</v>
      </c>
      <c r="HD11" s="23">
        <v>28.726507579</v>
      </c>
      <c r="HE11" s="23">
        <v>1079.1854153879999</v>
      </c>
      <c r="HF11" s="23"/>
      <c r="HG11" s="23"/>
      <c r="HH11" s="23"/>
      <c r="HI11" s="23"/>
    </row>
    <row r="12" spans="1:217" ht="6" customHeight="1">
      <c r="A12" s="29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</row>
    <row r="13" spans="1:217" s="32" customFormat="1" ht="14.25">
      <c r="A13" s="26" t="s">
        <v>57</v>
      </c>
      <c r="B13" s="27">
        <v>27.201640638000001</v>
      </c>
      <c r="C13" s="27">
        <v>22.460921858000003</v>
      </c>
      <c r="D13" s="27">
        <v>25.578385024999999</v>
      </c>
      <c r="E13" s="27">
        <v>24.680733203999999</v>
      </c>
      <c r="F13" s="27">
        <v>23.472517772</v>
      </c>
      <c r="G13" s="27">
        <v>24.173465101999998</v>
      </c>
      <c r="H13" s="27">
        <v>28.580753375</v>
      </c>
      <c r="I13" s="27">
        <v>26.070695618999999</v>
      </c>
      <c r="J13" s="27">
        <v>29.259335387</v>
      </c>
      <c r="K13" s="27">
        <v>36.573305955000002</v>
      </c>
      <c r="L13" s="27">
        <v>35.372521050000003</v>
      </c>
      <c r="M13" s="27">
        <v>65.997312464999993</v>
      </c>
      <c r="N13" s="27">
        <v>0</v>
      </c>
      <c r="O13" s="27">
        <v>0</v>
      </c>
      <c r="P13" s="27">
        <v>92.175632925000002</v>
      </c>
      <c r="Q13" s="27">
        <v>56.506457008999995</v>
      </c>
      <c r="R13" s="27">
        <v>25.185353263</v>
      </c>
      <c r="S13" s="27">
        <v>34.959325342</v>
      </c>
      <c r="T13" s="27">
        <v>31.303727366</v>
      </c>
      <c r="U13" s="27">
        <v>35.880043791999995</v>
      </c>
      <c r="V13" s="27">
        <v>0</v>
      </c>
      <c r="W13" s="27">
        <v>71.986131148999988</v>
      </c>
      <c r="X13" s="27">
        <v>41.765513816000002</v>
      </c>
      <c r="Y13" s="27">
        <v>49.895426155999999</v>
      </c>
      <c r="Z13" s="27">
        <v>0</v>
      </c>
      <c r="AA13" s="27">
        <v>30.821221482000002</v>
      </c>
      <c r="AB13" s="27">
        <v>99.012318210000004</v>
      </c>
      <c r="AC13" s="27">
        <v>40.178009926999998</v>
      </c>
      <c r="AD13" s="27">
        <v>42.554823310000003</v>
      </c>
      <c r="AE13" s="27">
        <v>41.361310005</v>
      </c>
      <c r="AF13" s="27">
        <v>0</v>
      </c>
      <c r="AG13" s="27">
        <v>84.032453623999999</v>
      </c>
      <c r="AH13" s="27">
        <v>29.241700948999998</v>
      </c>
      <c r="AI13" s="27">
        <v>44.239646426</v>
      </c>
      <c r="AJ13" s="27">
        <v>43.353914229000004</v>
      </c>
      <c r="AK13" s="27">
        <v>86.514627720999997</v>
      </c>
      <c r="AL13" s="27">
        <v>0</v>
      </c>
      <c r="AM13" s="27">
        <v>81.316993577000005</v>
      </c>
      <c r="AN13" s="27">
        <v>35.263075031</v>
      </c>
      <c r="AO13" s="27">
        <v>48.323180354999998</v>
      </c>
      <c r="AP13" s="27">
        <v>64.096784889000006</v>
      </c>
      <c r="AQ13" s="27">
        <v>22.649961941000001</v>
      </c>
      <c r="AR13" s="27">
        <v>13.2662697</v>
      </c>
      <c r="AS13" s="27">
        <v>97.755941964000002</v>
      </c>
      <c r="AT13" s="27">
        <v>55.532774101000001</v>
      </c>
      <c r="AU13" s="27">
        <v>52.327414449000003</v>
      </c>
      <c r="AV13" s="27">
        <v>31.978403341</v>
      </c>
      <c r="AW13" s="27">
        <v>57.262907093999999</v>
      </c>
      <c r="AX13" s="27">
        <v>55.234476069999999</v>
      </c>
      <c r="AY13" s="27">
        <v>19.662443227000001</v>
      </c>
      <c r="AZ13" s="27">
        <v>116.233101667</v>
      </c>
      <c r="BA13" s="27">
        <v>50.157085094000003</v>
      </c>
      <c r="BB13" s="27">
        <v>66.450070108999995</v>
      </c>
      <c r="BC13" s="27">
        <v>16.591464238</v>
      </c>
      <c r="BD13" s="27">
        <v>54.013137337000003</v>
      </c>
      <c r="BE13" s="27">
        <v>95.237568474</v>
      </c>
      <c r="BF13" s="27">
        <v>61.147227316999995</v>
      </c>
      <c r="BG13" s="27">
        <v>56.179014454999994</v>
      </c>
      <c r="BH13" s="27">
        <v>71.49727531500001</v>
      </c>
      <c r="BI13" s="27">
        <v>89.729622526</v>
      </c>
      <c r="BJ13" s="27">
        <v>4.6688071980000005</v>
      </c>
      <c r="BK13" s="27">
        <v>44.068689699000004</v>
      </c>
      <c r="BL13" s="27">
        <v>165.70788527900001</v>
      </c>
      <c r="BM13" s="27">
        <v>42.079225582999996</v>
      </c>
      <c r="BN13" s="27">
        <v>96.586501780000006</v>
      </c>
      <c r="BO13" s="27">
        <v>66.716170855000001</v>
      </c>
      <c r="BP13" s="27">
        <v>69.705391949000003</v>
      </c>
      <c r="BQ13" s="27">
        <v>70.649695468000004</v>
      </c>
      <c r="BR13" s="27">
        <v>70.125049658000009</v>
      </c>
      <c r="BS13" s="27">
        <v>69.133051979000001</v>
      </c>
      <c r="BT13" s="27">
        <v>69.234032013999993</v>
      </c>
      <c r="BU13" s="27">
        <v>137.97886439500002</v>
      </c>
      <c r="BV13" s="27">
        <v>6.3281085300000006</v>
      </c>
      <c r="BW13" s="27">
        <v>92.366327411</v>
      </c>
      <c r="BX13" s="27">
        <v>91.445618342000003</v>
      </c>
      <c r="BY13" s="27">
        <v>74.276513472000005</v>
      </c>
      <c r="BZ13" s="27">
        <v>77.653948753000009</v>
      </c>
      <c r="CA13" s="27">
        <v>72.374072388999991</v>
      </c>
      <c r="CB13" s="27">
        <v>82.249797518000008</v>
      </c>
      <c r="CC13" s="27">
        <v>94.046361672000003</v>
      </c>
      <c r="CD13" s="27">
        <v>84.993367982999999</v>
      </c>
      <c r="CE13" s="27">
        <v>88.164444740000008</v>
      </c>
      <c r="CF13" s="27">
        <v>79.208954049000013</v>
      </c>
      <c r="CG13" s="27">
        <v>176.27139642999998</v>
      </c>
      <c r="CH13" s="27">
        <v>11.945973147999998</v>
      </c>
      <c r="CI13" s="27">
        <v>93.895250098000005</v>
      </c>
      <c r="CJ13" s="27">
        <v>94.581300210999999</v>
      </c>
      <c r="CK13" s="27">
        <v>96.813204461999987</v>
      </c>
      <c r="CL13" s="27">
        <v>90.015126281000008</v>
      </c>
      <c r="CM13" s="27">
        <v>91.942781948999993</v>
      </c>
      <c r="CN13" s="27">
        <v>100.93714282799999</v>
      </c>
      <c r="CO13" s="27">
        <v>105.496242326</v>
      </c>
      <c r="CP13" s="27">
        <v>71.411874333</v>
      </c>
      <c r="CQ13" s="27">
        <v>106.81847505799999</v>
      </c>
      <c r="CR13" s="27">
        <v>82.158936275999991</v>
      </c>
      <c r="CS13" s="27">
        <v>194.63723285100002</v>
      </c>
      <c r="CT13" s="27">
        <v>11.662057708000001</v>
      </c>
      <c r="CU13" s="27">
        <v>118.64265187800001</v>
      </c>
      <c r="CV13" s="27">
        <v>112.770479623</v>
      </c>
      <c r="CW13" s="27">
        <v>128.778297493</v>
      </c>
      <c r="CX13" s="27">
        <v>132.01360260799999</v>
      </c>
      <c r="CY13" s="27">
        <v>95.355346682000004</v>
      </c>
      <c r="CZ13" s="27">
        <v>107.508025081</v>
      </c>
      <c r="DA13" s="27">
        <v>154.64199951099999</v>
      </c>
      <c r="DB13" s="27">
        <v>34.507148768999997</v>
      </c>
      <c r="DC13" s="27">
        <v>191.96188160900002</v>
      </c>
      <c r="DD13" s="27">
        <v>125.08225447</v>
      </c>
      <c r="DE13" s="27">
        <v>112.98086558199999</v>
      </c>
      <c r="DF13" s="27">
        <v>8.9302233369999993</v>
      </c>
      <c r="DG13" s="27">
        <v>217.36357543400001</v>
      </c>
      <c r="DH13" s="27">
        <v>145.19807134299998</v>
      </c>
      <c r="DI13" s="27">
        <v>145.48672947</v>
      </c>
      <c r="DJ13" s="27">
        <v>205.37948095100001</v>
      </c>
      <c r="DK13" s="27">
        <v>147.12519809</v>
      </c>
      <c r="DL13" s="27">
        <v>115.271884039</v>
      </c>
      <c r="DM13" s="27">
        <v>153.03599513600003</v>
      </c>
      <c r="DN13" s="27">
        <v>125.261946721</v>
      </c>
      <c r="DO13" s="27">
        <v>142.80097299899998</v>
      </c>
      <c r="DP13" s="27">
        <v>41.632171604</v>
      </c>
      <c r="DQ13" s="27">
        <v>245.63749281900002</v>
      </c>
      <c r="DR13" s="27">
        <v>133.96351113699998</v>
      </c>
      <c r="DS13" s="27">
        <v>189.82764270800001</v>
      </c>
      <c r="DT13" s="27">
        <v>156.58436292399998</v>
      </c>
      <c r="DU13" s="27">
        <v>118.74308818599999</v>
      </c>
      <c r="DV13" s="27">
        <v>79.863618130000006</v>
      </c>
      <c r="DW13" s="27">
        <v>88.997046147000006</v>
      </c>
      <c r="DX13" s="27">
        <v>61.670495082000002</v>
      </c>
      <c r="DY13" s="27">
        <v>58.431393237999998</v>
      </c>
      <c r="DZ13" s="27">
        <v>62.682013089000002</v>
      </c>
      <c r="EA13" s="27">
        <v>88.814694500000002</v>
      </c>
      <c r="EB13" s="27">
        <v>62.748764741000002</v>
      </c>
      <c r="EC13" s="27">
        <v>504.73855024299996</v>
      </c>
      <c r="ED13" s="27">
        <v>14.753628392000001</v>
      </c>
      <c r="EE13" s="27">
        <v>463.06046230299995</v>
      </c>
      <c r="EF13" s="27">
        <v>125.080012524</v>
      </c>
      <c r="EG13" s="27">
        <v>72.005521823000009</v>
      </c>
      <c r="EH13" s="27">
        <v>124.389233699</v>
      </c>
      <c r="EI13" s="27">
        <v>159.043644306</v>
      </c>
      <c r="EJ13" s="27">
        <v>185.461416125</v>
      </c>
      <c r="EK13" s="27">
        <v>102.15718637500001</v>
      </c>
      <c r="EL13" s="27">
        <v>116.351130492</v>
      </c>
      <c r="EM13" s="27">
        <v>166.999240069</v>
      </c>
      <c r="EN13" s="27">
        <v>74.765132592</v>
      </c>
      <c r="EO13" s="27">
        <v>708.80109081000001</v>
      </c>
      <c r="EP13" s="27">
        <v>23.149614742999997</v>
      </c>
      <c r="EQ13" s="27">
        <v>349.80611917599998</v>
      </c>
      <c r="ER13" s="27">
        <v>116.87966767499999</v>
      </c>
      <c r="ES13" s="27">
        <v>94.702143438999997</v>
      </c>
      <c r="ET13" s="27">
        <v>70.703664073000013</v>
      </c>
      <c r="EU13" s="27">
        <v>121.51339210399999</v>
      </c>
      <c r="EV13" s="27">
        <v>119.13493225400001</v>
      </c>
      <c r="EW13" s="27">
        <v>150.38964129600001</v>
      </c>
      <c r="EX13" s="27">
        <v>121.83067825399999</v>
      </c>
      <c r="EY13" s="27">
        <v>182.17131652699999</v>
      </c>
      <c r="EZ13" s="27">
        <v>116.181992925</v>
      </c>
      <c r="FA13" s="27">
        <v>562.23298731400007</v>
      </c>
      <c r="FB13" s="27">
        <v>167.33217487799999</v>
      </c>
      <c r="FC13" s="27">
        <v>513.92214080899998</v>
      </c>
      <c r="FD13" s="27">
        <v>89.306564304000005</v>
      </c>
      <c r="FE13" s="27">
        <v>86.097928316000008</v>
      </c>
      <c r="FF13" s="27">
        <v>69.819766013999995</v>
      </c>
      <c r="FG13" s="27">
        <v>178.85113111599998</v>
      </c>
      <c r="FH13" s="27">
        <v>86.914524073999999</v>
      </c>
      <c r="FI13" s="27">
        <v>122.560667181</v>
      </c>
      <c r="FJ13" s="27">
        <v>159.14570313499999</v>
      </c>
      <c r="FK13" s="27">
        <v>72.478298512999999</v>
      </c>
      <c r="FL13" s="27">
        <v>231.26022003900002</v>
      </c>
      <c r="FM13" s="27">
        <v>191.782368811</v>
      </c>
      <c r="FN13" s="27">
        <v>97.115917140000008</v>
      </c>
      <c r="FO13" s="27">
        <v>494.63543370299999</v>
      </c>
      <c r="FP13" s="27">
        <v>94.974814815000002</v>
      </c>
      <c r="FQ13" s="27">
        <v>85.75748175599999</v>
      </c>
      <c r="FR13" s="27">
        <v>125.14153851899999</v>
      </c>
      <c r="FS13" s="27">
        <v>116.96536825699999</v>
      </c>
      <c r="FT13" s="27">
        <v>150.213224002</v>
      </c>
      <c r="FU13" s="27">
        <v>202.561617961</v>
      </c>
      <c r="FV13" s="27">
        <v>161.49847069399999</v>
      </c>
      <c r="FW13" s="27">
        <v>133.167586957</v>
      </c>
      <c r="FX13" s="27">
        <v>182.314803729</v>
      </c>
      <c r="FY13" s="27">
        <v>564.73940429799995</v>
      </c>
      <c r="FZ13" s="27">
        <v>123.437768107</v>
      </c>
      <c r="GA13" s="27">
        <v>110.876294112</v>
      </c>
      <c r="GB13" s="22">
        <v>121.76357658999999</v>
      </c>
      <c r="GC13" s="22">
        <v>122.343828282</v>
      </c>
      <c r="GD13" s="22">
        <v>120.441819313</v>
      </c>
      <c r="GE13" s="22">
        <v>107.90434824099999</v>
      </c>
      <c r="GF13" s="22">
        <v>231.46026884399998</v>
      </c>
      <c r="GG13" s="22">
        <v>126.360748374</v>
      </c>
      <c r="GH13" s="22">
        <v>209.24210885799999</v>
      </c>
      <c r="GI13" s="22">
        <v>217.10297551399998</v>
      </c>
      <c r="GJ13" s="22">
        <v>279.72206354499997</v>
      </c>
      <c r="GK13" s="22">
        <v>343.36611379999999</v>
      </c>
      <c r="GL13" s="23">
        <v>72.125538024999997</v>
      </c>
      <c r="GM13" s="23">
        <v>315.18921134999999</v>
      </c>
      <c r="GN13" s="23">
        <v>145.23205221399999</v>
      </c>
      <c r="GO13" s="23">
        <v>134.82251537000002</v>
      </c>
      <c r="GP13" s="23">
        <v>256.15636999999998</v>
      </c>
      <c r="GQ13" s="23">
        <v>162.803995727</v>
      </c>
      <c r="GR13" s="23">
        <v>171.94320006200002</v>
      </c>
      <c r="GS13" s="23">
        <v>190.19170797799998</v>
      </c>
      <c r="GT13" s="23">
        <v>220.38671316499997</v>
      </c>
      <c r="GU13" s="23">
        <v>187.90341554300002</v>
      </c>
      <c r="GV13" s="23">
        <v>134.22872301500001</v>
      </c>
      <c r="GW13" s="23">
        <v>135.04248405599998</v>
      </c>
      <c r="GX13" s="23">
        <v>152.482808861</v>
      </c>
      <c r="GY13" s="23">
        <v>509.97408698000004</v>
      </c>
      <c r="GZ13" s="23">
        <v>96.061613197</v>
      </c>
      <c r="HA13" s="23">
        <v>156.87712756500002</v>
      </c>
      <c r="HB13" s="23">
        <v>173.622812759</v>
      </c>
      <c r="HC13" s="23">
        <v>278.65239932100002</v>
      </c>
      <c r="HD13" s="23">
        <v>172.59751948600001</v>
      </c>
      <c r="HE13" s="23">
        <v>184.74180488099998</v>
      </c>
      <c r="HF13" s="23"/>
      <c r="HG13" s="23"/>
      <c r="HH13" s="23"/>
      <c r="HI13" s="23"/>
    </row>
    <row r="14" spans="1:217" ht="8.25" customHeight="1">
      <c r="A14" s="29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</row>
    <row r="15" spans="1:217" s="32" customFormat="1" ht="14.25">
      <c r="A15" s="26" t="s">
        <v>10</v>
      </c>
      <c r="B15" s="27">
        <v>6.7242951330000009</v>
      </c>
      <c r="C15" s="27">
        <v>9.7691791820000002</v>
      </c>
      <c r="D15" s="27">
        <v>9.771326363</v>
      </c>
      <c r="E15" s="27">
        <v>49.877721969000007</v>
      </c>
      <c r="F15" s="27">
        <v>6.3143864589999996</v>
      </c>
      <c r="G15" s="27">
        <v>6.7740429559999997</v>
      </c>
      <c r="H15" s="27">
        <v>5.3505752830000004</v>
      </c>
      <c r="I15" s="27">
        <v>6.4212679499999998</v>
      </c>
      <c r="J15" s="27">
        <v>8.8968127680000002</v>
      </c>
      <c r="K15" s="27">
        <v>17.826329277999996</v>
      </c>
      <c r="L15" s="27">
        <v>24.223352502999997</v>
      </c>
      <c r="M15" s="27">
        <v>11.352104930000001</v>
      </c>
      <c r="N15" s="27">
        <v>6.7350556730000006</v>
      </c>
      <c r="O15" s="27">
        <v>16.509690730000003</v>
      </c>
      <c r="P15" s="27">
        <v>16.252148076000001</v>
      </c>
      <c r="Q15" s="27">
        <v>12.580065502</v>
      </c>
      <c r="R15" s="27">
        <v>19.322107380999999</v>
      </c>
      <c r="S15" s="27">
        <v>26.322403335000001</v>
      </c>
      <c r="T15" s="27">
        <v>15.471409666000003</v>
      </c>
      <c r="U15" s="27">
        <v>15.355381917999999</v>
      </c>
      <c r="V15" s="27">
        <v>17.639454999000002</v>
      </c>
      <c r="W15" s="27">
        <v>30.306557499999997</v>
      </c>
      <c r="X15" s="27">
        <v>28.135159868999999</v>
      </c>
      <c r="Y15" s="27">
        <v>28.133152978999998</v>
      </c>
      <c r="Z15" s="27">
        <v>2.692230457</v>
      </c>
      <c r="AA15" s="27">
        <v>11.369515374000001</v>
      </c>
      <c r="AB15" s="27">
        <v>25.133250443999998</v>
      </c>
      <c r="AC15" s="27">
        <v>35.85798767</v>
      </c>
      <c r="AD15" s="27">
        <v>24.777419986000002</v>
      </c>
      <c r="AE15" s="27">
        <v>12.586225810999998</v>
      </c>
      <c r="AF15" s="27">
        <v>19.394057163999999</v>
      </c>
      <c r="AG15" s="27">
        <v>16.365745441999998</v>
      </c>
      <c r="AH15" s="27">
        <v>18.825308208000003</v>
      </c>
      <c r="AI15" s="27">
        <v>18.490950939999998</v>
      </c>
      <c r="AJ15" s="27">
        <v>20.174679962999999</v>
      </c>
      <c r="AK15" s="27">
        <v>28.806789906999999</v>
      </c>
      <c r="AL15" s="27">
        <v>16.466567721000001</v>
      </c>
      <c r="AM15" s="27">
        <v>15.857620404</v>
      </c>
      <c r="AN15" s="27">
        <v>3.9753878949999999</v>
      </c>
      <c r="AO15" s="27">
        <v>43.53700236200001</v>
      </c>
      <c r="AP15" s="27">
        <v>14.255124359</v>
      </c>
      <c r="AQ15" s="27">
        <v>67.428946822</v>
      </c>
      <c r="AR15" s="27">
        <v>19.294467171999997</v>
      </c>
      <c r="AS15" s="27">
        <v>11.759043780999999</v>
      </c>
      <c r="AT15" s="27">
        <v>38.509414827000001</v>
      </c>
      <c r="AU15" s="27">
        <v>15.920582838</v>
      </c>
      <c r="AV15" s="27">
        <v>17.720093231</v>
      </c>
      <c r="AW15" s="27">
        <v>12.26484857</v>
      </c>
      <c r="AX15" s="27">
        <v>7.0445016660000004</v>
      </c>
      <c r="AY15" s="27">
        <v>35.741812076999992</v>
      </c>
      <c r="AZ15" s="27">
        <v>73.344180709999989</v>
      </c>
      <c r="BA15" s="27">
        <v>31.629476217000004</v>
      </c>
      <c r="BB15" s="27">
        <v>12.947244683999998</v>
      </c>
      <c r="BC15" s="27">
        <v>42.615871240999994</v>
      </c>
      <c r="BD15" s="27">
        <v>21.926523348000003</v>
      </c>
      <c r="BE15" s="27">
        <v>26.089344553</v>
      </c>
      <c r="BF15" s="27">
        <v>7.7635936969999992</v>
      </c>
      <c r="BG15" s="27">
        <v>24.308971544999999</v>
      </c>
      <c r="BH15" s="27">
        <v>21.598650731999999</v>
      </c>
      <c r="BI15" s="27">
        <v>148.90361670499999</v>
      </c>
      <c r="BJ15" s="27">
        <v>232.48025207299997</v>
      </c>
      <c r="BK15" s="27">
        <v>46.107031662000004</v>
      </c>
      <c r="BL15" s="27">
        <v>57.685102975</v>
      </c>
      <c r="BM15" s="27">
        <v>16.503338472999999</v>
      </c>
      <c r="BN15" s="27">
        <v>42.904134490000004</v>
      </c>
      <c r="BO15" s="27">
        <v>35.735190127000003</v>
      </c>
      <c r="BP15" s="27">
        <v>15.027150486</v>
      </c>
      <c r="BQ15" s="27">
        <v>56.503861178000001</v>
      </c>
      <c r="BR15" s="27">
        <v>44.719327354999997</v>
      </c>
      <c r="BS15" s="27">
        <v>54.483900163999998</v>
      </c>
      <c r="BT15" s="27">
        <v>21.892250569000005</v>
      </c>
      <c r="BU15" s="27">
        <v>85.473133856999993</v>
      </c>
      <c r="BV15" s="27">
        <v>3.149718182</v>
      </c>
      <c r="BW15" s="27">
        <v>34.500920296999993</v>
      </c>
      <c r="BX15" s="27">
        <v>80.170305266</v>
      </c>
      <c r="BY15" s="27">
        <v>46.207505111999993</v>
      </c>
      <c r="BZ15" s="27">
        <v>26.309081245000002</v>
      </c>
      <c r="CA15" s="27">
        <v>60.814020849999991</v>
      </c>
      <c r="CB15" s="27">
        <v>75.429647810000006</v>
      </c>
      <c r="CC15" s="27">
        <v>53.840515932000002</v>
      </c>
      <c r="CD15" s="27">
        <v>65.747555287999987</v>
      </c>
      <c r="CE15" s="27">
        <v>64.416042255999997</v>
      </c>
      <c r="CF15" s="27">
        <v>84.138014760000004</v>
      </c>
      <c r="CG15" s="27">
        <v>164.81367543300001</v>
      </c>
      <c r="CH15" s="27">
        <v>7.0728588980000007</v>
      </c>
      <c r="CI15" s="27">
        <v>26.120502226999999</v>
      </c>
      <c r="CJ15" s="27">
        <v>85.052168069999993</v>
      </c>
      <c r="CK15" s="27">
        <v>47.854971185999993</v>
      </c>
      <c r="CL15" s="27">
        <v>82.54706309800001</v>
      </c>
      <c r="CM15" s="27">
        <v>99.44651183900001</v>
      </c>
      <c r="CN15" s="27">
        <v>38.845120503000004</v>
      </c>
      <c r="CO15" s="27">
        <v>56.798387264999995</v>
      </c>
      <c r="CP15" s="27">
        <v>64.825457905999997</v>
      </c>
      <c r="CQ15" s="27">
        <v>135.95505471299998</v>
      </c>
      <c r="CR15" s="27">
        <v>115.34578884999999</v>
      </c>
      <c r="CS15" s="27">
        <v>247.25697431399999</v>
      </c>
      <c r="CT15" s="27">
        <v>22.332586022000001</v>
      </c>
      <c r="CU15" s="27">
        <v>30.856506076999999</v>
      </c>
      <c r="CV15" s="27">
        <v>69.760270995000013</v>
      </c>
      <c r="CW15" s="27">
        <v>80.133930792000015</v>
      </c>
      <c r="CX15" s="27">
        <v>57.674501704999997</v>
      </c>
      <c r="CY15" s="27">
        <v>80.961959204999999</v>
      </c>
      <c r="CZ15" s="27">
        <v>202.659725229</v>
      </c>
      <c r="DA15" s="27">
        <v>78.08521211499999</v>
      </c>
      <c r="DB15" s="27">
        <v>77.800260241000004</v>
      </c>
      <c r="DC15" s="27">
        <v>80.995491505000004</v>
      </c>
      <c r="DD15" s="27">
        <v>169.33751105900001</v>
      </c>
      <c r="DE15" s="27">
        <v>428.08527882800007</v>
      </c>
      <c r="DF15" s="27">
        <v>48.572344624999999</v>
      </c>
      <c r="DG15" s="27">
        <v>47.590884804999995</v>
      </c>
      <c r="DH15" s="27">
        <v>149.165999185</v>
      </c>
      <c r="DI15" s="27">
        <v>58.202427457999995</v>
      </c>
      <c r="DJ15" s="27">
        <v>89.546099729000005</v>
      </c>
      <c r="DK15" s="27">
        <v>78.581794855000012</v>
      </c>
      <c r="DL15" s="27">
        <v>83.898626089000004</v>
      </c>
      <c r="DM15" s="27">
        <v>72.716620061</v>
      </c>
      <c r="DN15" s="27">
        <v>76.494283021000001</v>
      </c>
      <c r="DO15" s="27">
        <v>90.589691149000004</v>
      </c>
      <c r="DP15" s="27">
        <v>208.67448827600003</v>
      </c>
      <c r="DQ15" s="27">
        <v>220.15849106799999</v>
      </c>
      <c r="DR15" s="27">
        <v>52.117725491000002</v>
      </c>
      <c r="DS15" s="27">
        <v>56.362850345000005</v>
      </c>
      <c r="DT15" s="27">
        <v>168.27348580500001</v>
      </c>
      <c r="DU15" s="27">
        <v>92.855690964999994</v>
      </c>
      <c r="DV15" s="27">
        <v>88.514657683999999</v>
      </c>
      <c r="DW15" s="27">
        <v>55.760089426</v>
      </c>
      <c r="DX15" s="27">
        <v>145.39756744699997</v>
      </c>
      <c r="DY15" s="27">
        <v>75.812637014999993</v>
      </c>
      <c r="DZ15" s="27">
        <v>47.001494772999997</v>
      </c>
      <c r="EA15" s="27">
        <v>103.786340908</v>
      </c>
      <c r="EB15" s="27">
        <v>63.812243105</v>
      </c>
      <c r="EC15" s="27">
        <v>108.163562985</v>
      </c>
      <c r="ED15" s="27">
        <v>16.045117273999999</v>
      </c>
      <c r="EE15" s="27">
        <v>107.72993561700001</v>
      </c>
      <c r="EF15" s="27">
        <v>75.480686466999998</v>
      </c>
      <c r="EG15" s="27">
        <v>42.497285584000004</v>
      </c>
      <c r="EH15" s="27">
        <v>126.228455268</v>
      </c>
      <c r="EI15" s="27">
        <v>34.312768765000001</v>
      </c>
      <c r="EJ15" s="27">
        <v>85.237950539999986</v>
      </c>
      <c r="EK15" s="27">
        <v>63.214375419</v>
      </c>
      <c r="EL15" s="27">
        <v>99.261855652999998</v>
      </c>
      <c r="EM15" s="27">
        <v>56.524752751000001</v>
      </c>
      <c r="EN15" s="27">
        <v>162.61870811899999</v>
      </c>
      <c r="EO15" s="27">
        <v>209.568336926</v>
      </c>
      <c r="EP15" s="27">
        <v>72.860751746999995</v>
      </c>
      <c r="EQ15" s="27">
        <v>50.240349010999999</v>
      </c>
      <c r="ER15" s="27">
        <v>92.676015736000011</v>
      </c>
      <c r="ES15" s="27">
        <v>72.096541117000001</v>
      </c>
      <c r="ET15" s="27">
        <v>121.379653995</v>
      </c>
      <c r="EU15" s="27">
        <v>97.55312631000001</v>
      </c>
      <c r="EV15" s="27">
        <v>57.425329457999993</v>
      </c>
      <c r="EW15" s="27">
        <v>74.352695522000005</v>
      </c>
      <c r="EX15" s="27">
        <v>56.566270660999997</v>
      </c>
      <c r="EY15" s="27">
        <v>118.752274336</v>
      </c>
      <c r="EZ15" s="27">
        <v>95.40535534</v>
      </c>
      <c r="FA15" s="27">
        <v>368.251766003</v>
      </c>
      <c r="FB15" s="27">
        <v>13.494319379999999</v>
      </c>
      <c r="FC15" s="27">
        <v>58.618505891999995</v>
      </c>
      <c r="FD15" s="27">
        <v>111.10193158799999</v>
      </c>
      <c r="FE15" s="27">
        <v>49.111768249000001</v>
      </c>
      <c r="FF15" s="27">
        <v>68.945188874999999</v>
      </c>
      <c r="FG15" s="27">
        <v>50.440711433000004</v>
      </c>
      <c r="FH15" s="27">
        <v>493.93524095700002</v>
      </c>
      <c r="FI15" s="27">
        <v>61.386517261999998</v>
      </c>
      <c r="FJ15" s="27">
        <v>60.116613728000004</v>
      </c>
      <c r="FK15" s="27">
        <v>59.966103193000002</v>
      </c>
      <c r="FL15" s="27">
        <v>111.546340293</v>
      </c>
      <c r="FM15" s="27">
        <v>212.03512633900002</v>
      </c>
      <c r="FN15" s="27">
        <v>41.619546180000007</v>
      </c>
      <c r="FO15" s="27">
        <v>53.444310911999992</v>
      </c>
      <c r="FP15" s="27">
        <v>70.039710185999994</v>
      </c>
      <c r="FQ15" s="27">
        <v>57.430151459000001</v>
      </c>
      <c r="FR15" s="27">
        <v>165.96701027900002</v>
      </c>
      <c r="FS15" s="27">
        <v>66.554855008999994</v>
      </c>
      <c r="FT15" s="27">
        <v>66.142122758000014</v>
      </c>
      <c r="FU15" s="27">
        <v>163.69288216300001</v>
      </c>
      <c r="FV15" s="27">
        <v>73.344774021000006</v>
      </c>
      <c r="FW15" s="27">
        <v>160.04805085000004</v>
      </c>
      <c r="FX15" s="27">
        <v>139.61955922799999</v>
      </c>
      <c r="FY15" s="27">
        <v>89.613332210999999</v>
      </c>
      <c r="FZ15" s="27">
        <v>47.868066349999999</v>
      </c>
      <c r="GA15" s="27">
        <v>67.105506161999998</v>
      </c>
      <c r="GB15" s="22">
        <v>98.260619801999994</v>
      </c>
      <c r="GC15" s="22">
        <v>516.90727370200011</v>
      </c>
      <c r="GD15" s="22">
        <v>159.46754256600002</v>
      </c>
      <c r="GE15" s="22">
        <v>69.452512061999997</v>
      </c>
      <c r="GF15" s="22">
        <v>77.039109077999996</v>
      </c>
      <c r="GG15" s="22">
        <v>74.85800879300001</v>
      </c>
      <c r="GH15" s="22">
        <v>298.94139512300001</v>
      </c>
      <c r="GI15" s="22">
        <v>70.324045011999985</v>
      </c>
      <c r="GJ15" s="22">
        <v>92.905984015000001</v>
      </c>
      <c r="GK15" s="22">
        <v>173.88461293899999</v>
      </c>
      <c r="GL15" s="23">
        <v>78.562584897999997</v>
      </c>
      <c r="GM15" s="23">
        <v>76.940579399000001</v>
      </c>
      <c r="GN15" s="23">
        <v>100.16844482600001</v>
      </c>
      <c r="GO15" s="23">
        <v>102.78687928700002</v>
      </c>
      <c r="GP15" s="23">
        <v>83.987985768999991</v>
      </c>
      <c r="GQ15" s="23">
        <v>92.644744306999996</v>
      </c>
      <c r="GR15" s="23">
        <v>123.256818979</v>
      </c>
      <c r="GS15" s="23">
        <v>90.537329181999993</v>
      </c>
      <c r="GT15" s="23">
        <v>92.898813159000014</v>
      </c>
      <c r="GU15" s="23">
        <v>156.18527355200001</v>
      </c>
      <c r="GV15" s="23">
        <v>338.43367301299998</v>
      </c>
      <c r="GW15" s="23">
        <v>188.35861155500001</v>
      </c>
      <c r="GX15" s="23">
        <v>68.606051839000003</v>
      </c>
      <c r="GY15" s="23">
        <v>118.68321391800001</v>
      </c>
      <c r="GZ15" s="23">
        <v>121.384719627</v>
      </c>
      <c r="HA15" s="23">
        <v>84.725666997999994</v>
      </c>
      <c r="HB15" s="23">
        <v>81.076717403000004</v>
      </c>
      <c r="HC15" s="23">
        <v>108.961174433</v>
      </c>
      <c r="HD15" s="23">
        <v>79.057577239000011</v>
      </c>
      <c r="HE15" s="23">
        <v>88.219147158000013</v>
      </c>
      <c r="HF15" s="23"/>
      <c r="HG15" s="23"/>
      <c r="HH15" s="23"/>
      <c r="HI15" s="23"/>
    </row>
    <row r="16" spans="1:217">
      <c r="A16" s="29" t="s">
        <v>58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0.84349321899999996</v>
      </c>
      <c r="R16" s="2">
        <v>0</v>
      </c>
      <c r="S16" s="2">
        <v>1.925602107</v>
      </c>
      <c r="T16" s="2">
        <v>1.1247794680000001</v>
      </c>
      <c r="U16" s="2">
        <v>1.106065257</v>
      </c>
      <c r="V16" s="2">
        <v>4.189027887</v>
      </c>
      <c r="W16" s="2">
        <v>9.09</v>
      </c>
      <c r="X16" s="2">
        <v>0</v>
      </c>
      <c r="Y16" s="2">
        <v>3.5587416190000001</v>
      </c>
      <c r="Z16" s="2">
        <v>0</v>
      </c>
      <c r="AA16" s="2">
        <v>0</v>
      </c>
      <c r="AB16" s="2">
        <v>2.1540976270000001</v>
      </c>
      <c r="AC16" s="2">
        <v>10.938750000000001</v>
      </c>
      <c r="AD16" s="2">
        <v>1.4343555910000001</v>
      </c>
      <c r="AE16" s="2">
        <v>1.8633829550000001</v>
      </c>
      <c r="AF16" s="2">
        <v>0</v>
      </c>
      <c r="AG16" s="2">
        <v>2.637757031</v>
      </c>
      <c r="AH16" s="2">
        <v>0</v>
      </c>
      <c r="AI16" s="2">
        <v>9.1649999999999991</v>
      </c>
      <c r="AJ16" s="2">
        <v>2.151075954</v>
      </c>
      <c r="AK16" s="2">
        <v>9.8345396820000008</v>
      </c>
      <c r="AL16" s="2">
        <v>3.1039721829999998</v>
      </c>
      <c r="AM16" s="2">
        <v>0</v>
      </c>
      <c r="AN16" s="2">
        <v>0</v>
      </c>
      <c r="AO16" s="2">
        <v>1.9854467279999999</v>
      </c>
      <c r="AP16" s="2">
        <v>0</v>
      </c>
      <c r="AQ16" s="2">
        <v>11.163936</v>
      </c>
      <c r="AR16" s="2">
        <v>0</v>
      </c>
      <c r="AS16" s="2">
        <v>0</v>
      </c>
      <c r="AT16" s="2">
        <v>16.079999999999998</v>
      </c>
      <c r="AU16" s="2">
        <v>0</v>
      </c>
      <c r="AV16" s="2">
        <v>4.271984851</v>
      </c>
      <c r="AW16" s="2">
        <v>0</v>
      </c>
      <c r="AX16" s="2">
        <v>0</v>
      </c>
      <c r="AY16" s="2">
        <v>0</v>
      </c>
      <c r="AZ16" s="2">
        <v>23.826898799999999</v>
      </c>
      <c r="BA16" s="2">
        <v>12.55</v>
      </c>
      <c r="BB16" s="2">
        <v>2.3139869650000002</v>
      </c>
      <c r="BC16" s="2">
        <v>24.629476999999998</v>
      </c>
      <c r="BD16" s="2">
        <v>9.2268559630000002</v>
      </c>
      <c r="BE16" s="2">
        <v>10.16</v>
      </c>
      <c r="BF16" s="2">
        <v>0</v>
      </c>
      <c r="BG16" s="2">
        <v>3.5315964539999998</v>
      </c>
      <c r="BH16" s="2">
        <v>1.4120136050000001</v>
      </c>
      <c r="BI16" s="2">
        <v>16.054982904999999</v>
      </c>
      <c r="BJ16" s="2">
        <v>116.06399999999999</v>
      </c>
      <c r="BK16" s="2">
        <v>23.588305645000002</v>
      </c>
      <c r="BL16" s="2">
        <v>8.7598313700000006</v>
      </c>
      <c r="BM16" s="2">
        <v>0.91225156000000007</v>
      </c>
      <c r="BN16" s="2">
        <v>10.95617244</v>
      </c>
      <c r="BO16" s="2">
        <v>13.839294617</v>
      </c>
      <c r="BP16" s="2">
        <v>6.7950516319999998</v>
      </c>
      <c r="BQ16" s="2">
        <v>6.4367600839999994</v>
      </c>
      <c r="BR16" s="2">
        <v>23.164097484999999</v>
      </c>
      <c r="BS16" s="2">
        <v>0.88579346399999992</v>
      </c>
      <c r="BT16" s="2">
        <v>1.4835807030000001</v>
      </c>
      <c r="BU16" s="2">
        <v>25.749526284999998</v>
      </c>
      <c r="BV16" s="2">
        <v>8.0893214000000005E-2</v>
      </c>
      <c r="BW16" s="2">
        <v>0</v>
      </c>
      <c r="BX16" s="2">
        <v>1.411835092</v>
      </c>
      <c r="BY16" s="2">
        <v>11.274689</v>
      </c>
      <c r="BZ16" s="2">
        <v>0.32974598099999997</v>
      </c>
      <c r="CA16" s="2">
        <v>1.8338855120000002</v>
      </c>
      <c r="CB16" s="2">
        <v>49.540761074999999</v>
      </c>
      <c r="CC16" s="2">
        <v>11.619927234</v>
      </c>
      <c r="CD16" s="2">
        <v>0</v>
      </c>
      <c r="CE16" s="2">
        <v>2.2532085889999998</v>
      </c>
      <c r="CF16" s="2">
        <v>11.286468777</v>
      </c>
      <c r="CG16" s="2">
        <v>128.705428681</v>
      </c>
      <c r="CH16" s="2">
        <v>3.5217482650000003</v>
      </c>
      <c r="CI16" s="2">
        <v>0.23656633199999999</v>
      </c>
      <c r="CJ16" s="2">
        <v>0.49547950800000001</v>
      </c>
      <c r="CK16" s="2">
        <v>2.51444</v>
      </c>
      <c r="CL16" s="2">
        <v>1.939103086</v>
      </c>
      <c r="CM16" s="2">
        <v>0</v>
      </c>
      <c r="CN16" s="2">
        <v>0.53746433699999996</v>
      </c>
      <c r="CO16" s="2">
        <v>7.7178914869999993</v>
      </c>
      <c r="CP16" s="2">
        <v>18.138692911</v>
      </c>
      <c r="CQ16" s="2">
        <v>8.2743533150000008</v>
      </c>
      <c r="CR16" s="2">
        <v>69.046668326000002</v>
      </c>
      <c r="CS16" s="2">
        <v>32.172939758000005</v>
      </c>
      <c r="CT16" s="2">
        <v>0</v>
      </c>
      <c r="CU16" s="2">
        <v>0.29164090399999998</v>
      </c>
      <c r="CV16" s="2">
        <v>5.6213499999999996</v>
      </c>
      <c r="CW16" s="2">
        <v>4.688027185000001</v>
      </c>
      <c r="CX16" s="2">
        <v>1.4105124739999999</v>
      </c>
      <c r="CY16" s="2">
        <v>3.2007861850000001</v>
      </c>
      <c r="CZ16" s="2">
        <v>2.1732428939999999</v>
      </c>
      <c r="DA16" s="2">
        <v>4.1566270630000002</v>
      </c>
      <c r="DB16" s="2">
        <v>0.1956524</v>
      </c>
      <c r="DC16" s="2">
        <v>1.3971048209999999</v>
      </c>
      <c r="DD16" s="2">
        <v>46.900477506000001</v>
      </c>
      <c r="DE16" s="2">
        <v>64.091235867000009</v>
      </c>
      <c r="DF16" s="2">
        <v>0.52392908199999999</v>
      </c>
      <c r="DG16" s="2">
        <v>0</v>
      </c>
      <c r="DH16" s="2">
        <v>24.730034123000003</v>
      </c>
      <c r="DI16" s="2">
        <v>0.33681599999999995</v>
      </c>
      <c r="DJ16" s="2">
        <v>22.967462835999999</v>
      </c>
      <c r="DK16" s="2">
        <v>2.2509999999999999</v>
      </c>
      <c r="DL16" s="2">
        <v>0.27492543799999997</v>
      </c>
      <c r="DM16" s="2">
        <v>4.2684492070000006</v>
      </c>
      <c r="DN16" s="2">
        <v>0</v>
      </c>
      <c r="DO16" s="2">
        <v>1.669314271</v>
      </c>
      <c r="DP16" s="2">
        <v>16.620444111999998</v>
      </c>
      <c r="DQ16" s="2">
        <v>14.613253599</v>
      </c>
      <c r="DR16" s="2">
        <v>2.8457284330000001</v>
      </c>
      <c r="DS16" s="2">
        <v>3.3553222729999996</v>
      </c>
      <c r="DT16" s="2">
        <v>0</v>
      </c>
      <c r="DU16" s="2">
        <v>0</v>
      </c>
      <c r="DV16" s="2">
        <v>4.8911585799999999</v>
      </c>
      <c r="DW16" s="2">
        <v>11.687045700999999</v>
      </c>
      <c r="DX16" s="2">
        <v>21.898227644999999</v>
      </c>
      <c r="DY16" s="2">
        <v>0.22200351599999998</v>
      </c>
      <c r="DZ16" s="2">
        <v>0</v>
      </c>
      <c r="EA16" s="2">
        <v>10.33131141</v>
      </c>
      <c r="EB16" s="2">
        <v>20.777304687000001</v>
      </c>
      <c r="EC16" s="2">
        <v>6.4320744270000008</v>
      </c>
      <c r="ED16" s="2">
        <v>0.52031474799999999</v>
      </c>
      <c r="EE16" s="2">
        <v>0</v>
      </c>
      <c r="EF16" s="2">
        <v>2.2041050380000002</v>
      </c>
      <c r="EG16" s="2">
        <v>1.664405224</v>
      </c>
      <c r="EH16" s="2">
        <v>39.853775028000001</v>
      </c>
      <c r="EI16" s="2">
        <v>0</v>
      </c>
      <c r="EJ16" s="2">
        <v>2.0075415059999999</v>
      </c>
      <c r="EK16" s="2">
        <v>3.7614200000000002</v>
      </c>
      <c r="EL16" s="2">
        <v>0</v>
      </c>
      <c r="EM16" s="2">
        <v>0.37568391300000004</v>
      </c>
      <c r="EN16" s="2">
        <v>27.298572627000002</v>
      </c>
      <c r="EO16" s="2">
        <v>24.557119999999998</v>
      </c>
      <c r="EP16" s="2">
        <v>40.868529095</v>
      </c>
      <c r="EQ16" s="2">
        <v>1.414507</v>
      </c>
      <c r="ER16" s="2">
        <v>0.12207827</v>
      </c>
      <c r="ES16" s="2">
        <v>1.3885054000000001E-2</v>
      </c>
      <c r="ET16" s="2">
        <v>0.52793739400000006</v>
      </c>
      <c r="EU16" s="2">
        <v>31.277338400000001</v>
      </c>
      <c r="EV16" s="2">
        <v>0.323481354</v>
      </c>
      <c r="EW16" s="2">
        <v>1.103491276</v>
      </c>
      <c r="EX16" s="2">
        <v>1.698349383</v>
      </c>
      <c r="EY16" s="2">
        <v>53.240218347000003</v>
      </c>
      <c r="EZ16" s="2">
        <v>3.8756481890000001</v>
      </c>
      <c r="FA16" s="2">
        <v>24.565155237999999</v>
      </c>
      <c r="FB16" s="2">
        <v>0</v>
      </c>
      <c r="FC16" s="2">
        <v>6.5261113459999995</v>
      </c>
      <c r="FD16" s="2">
        <v>1.7168108119999999</v>
      </c>
      <c r="FE16" s="2">
        <v>0</v>
      </c>
      <c r="FF16" s="2">
        <v>1.624250969</v>
      </c>
      <c r="FG16" s="2">
        <v>0</v>
      </c>
      <c r="FH16" s="2">
        <v>35.076851337000008</v>
      </c>
      <c r="FI16" s="2">
        <v>0</v>
      </c>
      <c r="FJ16" s="2">
        <v>0.72205544199999994</v>
      </c>
      <c r="FK16" s="2">
        <v>0</v>
      </c>
      <c r="FL16" s="2">
        <v>0</v>
      </c>
      <c r="FM16" s="2">
        <v>43.970642228999999</v>
      </c>
      <c r="FN16" s="2">
        <v>0.80665724500000002</v>
      </c>
      <c r="FO16" s="2">
        <v>0.359783452</v>
      </c>
      <c r="FP16" s="2">
        <v>0.95873413299999999</v>
      </c>
      <c r="FQ16" s="2">
        <v>0</v>
      </c>
      <c r="FR16" s="2">
        <v>21.929734400000001</v>
      </c>
      <c r="FS16" s="2">
        <v>0</v>
      </c>
      <c r="FT16" s="2">
        <v>0</v>
      </c>
      <c r="FU16" s="2">
        <v>101.00376817199999</v>
      </c>
      <c r="FV16" s="2">
        <v>0</v>
      </c>
      <c r="FW16" s="2">
        <v>1.478615719</v>
      </c>
      <c r="FX16" s="2">
        <v>34.8849424</v>
      </c>
      <c r="FY16" s="2">
        <v>0.117234475</v>
      </c>
      <c r="FZ16" s="2">
        <v>0</v>
      </c>
      <c r="GA16" s="2">
        <v>0</v>
      </c>
      <c r="GB16" s="22">
        <v>0</v>
      </c>
      <c r="GC16" s="22">
        <v>0</v>
      </c>
      <c r="GD16" s="22">
        <v>22.536080000000002</v>
      </c>
      <c r="GE16" s="22">
        <v>0</v>
      </c>
      <c r="GF16" s="22">
        <v>0</v>
      </c>
      <c r="GG16" s="22">
        <v>0</v>
      </c>
      <c r="GH16" s="22">
        <v>105.02465857</v>
      </c>
      <c r="GI16" s="22">
        <v>0</v>
      </c>
      <c r="GJ16" s="22">
        <v>23.2447768</v>
      </c>
      <c r="GK16" s="22">
        <v>4.5255201930000002</v>
      </c>
      <c r="GL16" s="23">
        <v>0</v>
      </c>
      <c r="GM16" s="23">
        <v>0</v>
      </c>
      <c r="GN16" s="23">
        <v>0</v>
      </c>
      <c r="GO16" s="23">
        <v>0</v>
      </c>
      <c r="GP16" s="23">
        <v>0</v>
      </c>
      <c r="GQ16" s="23">
        <v>0</v>
      </c>
      <c r="GR16" s="23">
        <v>26.444220000000001</v>
      </c>
      <c r="GS16" s="23">
        <v>3.0449650000000004</v>
      </c>
      <c r="GT16" s="23">
        <v>0</v>
      </c>
      <c r="GU16" s="23">
        <v>0</v>
      </c>
      <c r="GV16" s="23">
        <v>95.539512377999998</v>
      </c>
      <c r="GW16" s="23">
        <v>40.692288976</v>
      </c>
      <c r="GX16" s="23">
        <v>1.2959559999999999</v>
      </c>
      <c r="GY16" s="23">
        <v>18.272828000000001</v>
      </c>
      <c r="GZ16" s="23">
        <v>3.8269555199999998</v>
      </c>
      <c r="HA16" s="23">
        <v>3.2502249999999999</v>
      </c>
      <c r="HB16" s="23">
        <v>0</v>
      </c>
      <c r="HC16" s="23">
        <v>38.316631209999997</v>
      </c>
      <c r="HD16" s="23">
        <v>0</v>
      </c>
      <c r="HE16" s="23">
        <v>0</v>
      </c>
      <c r="HF16" s="23"/>
      <c r="HG16" s="23"/>
      <c r="HH16" s="23"/>
      <c r="HI16" s="23"/>
    </row>
    <row r="17" spans="1:217">
      <c r="A17" s="29" t="s">
        <v>59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0.84349321899999996</v>
      </c>
      <c r="R17" s="2">
        <v>0</v>
      </c>
      <c r="S17" s="2">
        <v>1.925602107</v>
      </c>
      <c r="T17" s="2">
        <v>1.1247794680000001</v>
      </c>
      <c r="U17" s="2">
        <v>1.106065257</v>
      </c>
      <c r="V17" s="2">
        <v>4.189027887</v>
      </c>
      <c r="W17" s="2">
        <v>9.09</v>
      </c>
      <c r="X17" s="2">
        <v>0</v>
      </c>
      <c r="Y17" s="2">
        <v>3.5587416190000001</v>
      </c>
      <c r="Z17" s="2">
        <v>0</v>
      </c>
      <c r="AA17" s="2">
        <v>0</v>
      </c>
      <c r="AB17" s="2">
        <v>2.1540976270000001</v>
      </c>
      <c r="AC17" s="2">
        <v>10.938750000000001</v>
      </c>
      <c r="AD17" s="2">
        <v>1.4343555910000001</v>
      </c>
      <c r="AE17" s="2">
        <v>1.8633829550000001</v>
      </c>
      <c r="AF17" s="2">
        <v>0</v>
      </c>
      <c r="AG17" s="2">
        <v>2.637757031</v>
      </c>
      <c r="AH17" s="2">
        <v>0</v>
      </c>
      <c r="AI17" s="2">
        <v>9.1649999999999991</v>
      </c>
      <c r="AJ17" s="2">
        <v>2.151075954</v>
      </c>
      <c r="AK17" s="2">
        <v>9.8345396820000008</v>
      </c>
      <c r="AL17" s="2">
        <v>3.1039721829999998</v>
      </c>
      <c r="AM17" s="2">
        <v>0</v>
      </c>
      <c r="AN17" s="2">
        <v>0</v>
      </c>
      <c r="AO17" s="2">
        <v>1.9854467279999999</v>
      </c>
      <c r="AP17" s="2">
        <v>0</v>
      </c>
      <c r="AQ17" s="2">
        <v>11.163936</v>
      </c>
      <c r="AR17" s="2">
        <v>0</v>
      </c>
      <c r="AS17" s="2">
        <v>0</v>
      </c>
      <c r="AT17" s="2">
        <v>16.079999999999998</v>
      </c>
      <c r="AU17" s="2">
        <v>0</v>
      </c>
      <c r="AV17" s="2">
        <v>4.271984851</v>
      </c>
      <c r="AW17" s="2">
        <v>0</v>
      </c>
      <c r="AX17" s="2">
        <v>0</v>
      </c>
      <c r="AY17" s="2">
        <v>0</v>
      </c>
      <c r="AZ17" s="2">
        <v>23.826898799999999</v>
      </c>
      <c r="BA17" s="2">
        <v>12.55</v>
      </c>
      <c r="BB17" s="2">
        <v>2.3139869650000002</v>
      </c>
      <c r="BC17" s="2">
        <v>24.629476999999998</v>
      </c>
      <c r="BD17" s="2">
        <v>9.2268559630000002</v>
      </c>
      <c r="BE17" s="2">
        <v>10.16</v>
      </c>
      <c r="BF17" s="2">
        <v>0</v>
      </c>
      <c r="BG17" s="2">
        <v>3.5315964539999998</v>
      </c>
      <c r="BH17" s="2">
        <v>1.4120136050000001</v>
      </c>
      <c r="BI17" s="2">
        <v>16.054982904999999</v>
      </c>
      <c r="BJ17" s="2">
        <v>116.06399999999999</v>
      </c>
      <c r="BK17" s="2">
        <v>23.588305645000002</v>
      </c>
      <c r="BL17" s="2">
        <v>8.7598313700000006</v>
      </c>
      <c r="BM17" s="2">
        <v>0.91225156000000007</v>
      </c>
      <c r="BN17" s="2">
        <v>10.95617244</v>
      </c>
      <c r="BO17" s="2">
        <v>13.839294617</v>
      </c>
      <c r="BP17" s="2">
        <v>6.7950516319999998</v>
      </c>
      <c r="BQ17" s="2">
        <v>6.4367600839999994</v>
      </c>
      <c r="BR17" s="2">
        <v>23.164097484999999</v>
      </c>
      <c r="BS17" s="2">
        <v>0.88579346399999992</v>
      </c>
      <c r="BT17" s="2">
        <v>1.4835807030000001</v>
      </c>
      <c r="BU17" s="2">
        <v>25.749526284999998</v>
      </c>
      <c r="BV17" s="2">
        <v>8.0893214000000005E-2</v>
      </c>
      <c r="BW17" s="2">
        <v>0</v>
      </c>
      <c r="BX17" s="2">
        <v>1.411835092</v>
      </c>
      <c r="BY17" s="2">
        <v>11.274689</v>
      </c>
      <c r="BZ17" s="2">
        <v>0.32974598099999997</v>
      </c>
      <c r="CA17" s="2">
        <v>1.8338855120000002</v>
      </c>
      <c r="CB17" s="2">
        <v>49.540761074999999</v>
      </c>
      <c r="CC17" s="2">
        <v>11.619927234</v>
      </c>
      <c r="CD17" s="2">
        <v>0</v>
      </c>
      <c r="CE17" s="2">
        <v>2.2532085889999998</v>
      </c>
      <c r="CF17" s="2">
        <v>11.286468777</v>
      </c>
      <c r="CG17" s="2">
        <v>-83.172791988</v>
      </c>
      <c r="CH17" s="2">
        <v>3.5217482650000003</v>
      </c>
      <c r="CI17" s="2">
        <v>0.23656633199999999</v>
      </c>
      <c r="CJ17" s="2">
        <v>0.49547950800000001</v>
      </c>
      <c r="CK17" s="2">
        <v>2.51444</v>
      </c>
      <c r="CL17" s="2">
        <v>1.939103086</v>
      </c>
      <c r="CM17" s="2">
        <v>0</v>
      </c>
      <c r="CN17" s="2">
        <v>0.53746433699999996</v>
      </c>
      <c r="CO17" s="2">
        <v>1.2735114869999999</v>
      </c>
      <c r="CP17" s="2">
        <v>0</v>
      </c>
      <c r="CQ17" s="2">
        <v>0</v>
      </c>
      <c r="CR17" s="2">
        <v>0.63328382599999999</v>
      </c>
      <c r="CS17" s="2">
        <v>-0.77378668700000008</v>
      </c>
      <c r="CT17" s="2">
        <v>0</v>
      </c>
      <c r="CU17" s="2">
        <v>0.29164090399999998</v>
      </c>
      <c r="CV17" s="2">
        <v>1.5039500000000001</v>
      </c>
      <c r="CW17" s="2">
        <v>0.480767905</v>
      </c>
      <c r="CX17" s="2">
        <v>0.53226547400000002</v>
      </c>
      <c r="CY17" s="2">
        <v>0.20078618499999998</v>
      </c>
      <c r="CZ17" s="2">
        <v>0.24777851400000001</v>
      </c>
      <c r="DA17" s="2">
        <v>0.41153612500000003</v>
      </c>
      <c r="DB17" s="2">
        <v>0.1956524</v>
      </c>
      <c r="DC17" s="2">
        <v>0</v>
      </c>
      <c r="DD17" s="2">
        <v>0.57207750599999996</v>
      </c>
      <c r="DE17" s="2">
        <v>0</v>
      </c>
      <c r="DF17" s="2">
        <v>0.52392908199999999</v>
      </c>
      <c r="DG17" s="2">
        <v>0</v>
      </c>
      <c r="DH17" s="2">
        <v>0</v>
      </c>
      <c r="DI17" s="2">
        <v>0</v>
      </c>
      <c r="DJ17" s="2">
        <v>0.59329782799999997</v>
      </c>
      <c r="DK17" s="2">
        <v>0</v>
      </c>
      <c r="DL17" s="2">
        <v>0.27492543799999997</v>
      </c>
      <c r="DM17" s="2">
        <v>0.22115844200000001</v>
      </c>
      <c r="DN17" s="2">
        <v>0</v>
      </c>
      <c r="DO17" s="2">
        <v>0</v>
      </c>
      <c r="DP17" s="2">
        <v>0.59608701599999991</v>
      </c>
      <c r="DQ17" s="2">
        <v>0</v>
      </c>
      <c r="DR17" s="2">
        <v>0.75922843299999998</v>
      </c>
      <c r="DS17" s="2">
        <v>0.19692227299999998</v>
      </c>
      <c r="DT17" s="2">
        <v>0</v>
      </c>
      <c r="DU17" s="2">
        <v>0</v>
      </c>
      <c r="DV17" s="2">
        <v>0.55018530399999999</v>
      </c>
      <c r="DW17" s="2">
        <v>0</v>
      </c>
      <c r="DX17" s="2">
        <v>17.227512765</v>
      </c>
      <c r="DY17" s="2">
        <v>0.22200351599999998</v>
      </c>
      <c r="DZ17" s="2">
        <v>0</v>
      </c>
      <c r="EA17" s="2">
        <v>0</v>
      </c>
      <c r="EB17" s="2">
        <v>0</v>
      </c>
      <c r="EC17" s="2">
        <v>0.57883738600000001</v>
      </c>
      <c r="ED17" s="2">
        <v>0.52031474799999999</v>
      </c>
      <c r="EE17" s="2">
        <v>0</v>
      </c>
      <c r="EF17" s="2">
        <v>0</v>
      </c>
      <c r="EG17" s="2">
        <v>0</v>
      </c>
      <c r="EH17" s="2">
        <v>0.57953151300000005</v>
      </c>
      <c r="EI17" s="2">
        <v>0</v>
      </c>
      <c r="EJ17" s="2">
        <v>0.26983538900000004</v>
      </c>
      <c r="EK17" s="2">
        <v>0</v>
      </c>
      <c r="EL17" s="2">
        <v>0</v>
      </c>
      <c r="EM17" s="2">
        <v>0</v>
      </c>
      <c r="EN17" s="2">
        <v>0.60728213000000009</v>
      </c>
      <c r="EO17" s="2">
        <v>0</v>
      </c>
      <c r="EP17" s="2">
        <v>0.30094124</v>
      </c>
      <c r="EQ17" s="2">
        <v>0</v>
      </c>
      <c r="ER17" s="2">
        <v>0</v>
      </c>
      <c r="ES17" s="2">
        <v>0</v>
      </c>
      <c r="ET17" s="2">
        <v>0.38324216300000002</v>
      </c>
      <c r="EU17" s="2">
        <v>0</v>
      </c>
      <c r="EV17" s="2">
        <v>0.323481354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6.2555168059999993</v>
      </c>
      <c r="FD17" s="2">
        <v>0</v>
      </c>
      <c r="FE17" s="2">
        <v>0</v>
      </c>
      <c r="FF17" s="2">
        <v>0</v>
      </c>
      <c r="FG17" s="2">
        <v>0</v>
      </c>
      <c r="FH17" s="2">
        <v>0.77717053699999994</v>
      </c>
      <c r="FI17" s="2">
        <v>0</v>
      </c>
      <c r="FJ17" s="2">
        <v>0</v>
      </c>
      <c r="FK17" s="2">
        <v>0</v>
      </c>
      <c r="FL17" s="2">
        <v>0</v>
      </c>
      <c r="FM17" s="2">
        <v>0.424178216</v>
      </c>
      <c r="FN17" s="2">
        <v>0</v>
      </c>
      <c r="FO17" s="2">
        <v>0.359783452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101.00376817199999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2">
        <v>0</v>
      </c>
      <c r="GC17" s="22">
        <v>0</v>
      </c>
      <c r="GD17" s="22">
        <v>0</v>
      </c>
      <c r="GE17" s="22">
        <v>0</v>
      </c>
      <c r="GF17" s="22">
        <v>0</v>
      </c>
      <c r="GG17" s="22">
        <v>0</v>
      </c>
      <c r="GH17" s="22">
        <v>103.810996292</v>
      </c>
      <c r="GI17" s="22">
        <v>0</v>
      </c>
      <c r="GJ17" s="22">
        <v>0</v>
      </c>
      <c r="GK17" s="22">
        <v>4.5255201930000002</v>
      </c>
      <c r="GL17" s="23">
        <v>0</v>
      </c>
      <c r="GM17" s="23">
        <v>0</v>
      </c>
      <c r="GN17" s="23">
        <v>0</v>
      </c>
      <c r="GO17" s="23">
        <v>0</v>
      </c>
      <c r="GP17" s="23">
        <v>0</v>
      </c>
      <c r="GQ17" s="23">
        <v>0</v>
      </c>
      <c r="GR17" s="23">
        <v>0</v>
      </c>
      <c r="GS17" s="23">
        <v>0</v>
      </c>
      <c r="GT17" s="23">
        <v>0</v>
      </c>
      <c r="GU17" s="23">
        <v>0</v>
      </c>
      <c r="GV17" s="23">
        <v>98.584477378000003</v>
      </c>
      <c r="GW17" s="23">
        <v>0</v>
      </c>
      <c r="GX17" s="23">
        <v>0</v>
      </c>
      <c r="GY17" s="23">
        <v>0</v>
      </c>
      <c r="GZ17" s="23">
        <v>0</v>
      </c>
      <c r="HA17" s="23">
        <v>0</v>
      </c>
      <c r="HB17" s="23">
        <v>0</v>
      </c>
      <c r="HC17" s="23">
        <v>0</v>
      </c>
      <c r="HD17" s="23">
        <v>0</v>
      </c>
      <c r="HE17" s="23">
        <v>0</v>
      </c>
      <c r="HF17" s="23"/>
      <c r="HG17" s="23"/>
      <c r="HH17" s="23"/>
      <c r="HI17" s="23"/>
    </row>
    <row r="18" spans="1:217">
      <c r="A18" s="29" t="s">
        <v>60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211.878220669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6.4443799999999998</v>
      </c>
      <c r="CP18" s="2">
        <v>18.138692911</v>
      </c>
      <c r="CQ18" s="2">
        <v>8.2743533150000008</v>
      </c>
      <c r="CR18" s="2">
        <v>68.413384500000006</v>
      </c>
      <c r="CS18" s="2">
        <v>32.946726445000003</v>
      </c>
      <c r="CT18" s="2">
        <v>0</v>
      </c>
      <c r="CU18" s="2">
        <v>0</v>
      </c>
      <c r="CV18" s="2">
        <v>4.1173999999999999</v>
      </c>
      <c r="CW18" s="2">
        <v>4.2072592800000006</v>
      </c>
      <c r="CX18" s="2">
        <v>0.878247</v>
      </c>
      <c r="CY18" s="2">
        <v>3</v>
      </c>
      <c r="CZ18" s="2">
        <v>1.92546438</v>
      </c>
      <c r="DA18" s="2">
        <v>3.7450909379999997</v>
      </c>
      <c r="DB18" s="2">
        <v>0</v>
      </c>
      <c r="DC18" s="2">
        <v>1.3971048209999999</v>
      </c>
      <c r="DD18" s="2">
        <v>46.328400000000002</v>
      </c>
      <c r="DE18" s="2">
        <v>64.091235867000009</v>
      </c>
      <c r="DF18" s="2">
        <v>0</v>
      </c>
      <c r="DG18" s="2">
        <v>0</v>
      </c>
      <c r="DH18" s="2">
        <v>24.730034123000003</v>
      </c>
      <c r="DI18" s="2">
        <v>0.33681599999999995</v>
      </c>
      <c r="DJ18" s="2">
        <v>22.374165007999999</v>
      </c>
      <c r="DK18" s="2">
        <v>2.2509999999999999</v>
      </c>
      <c r="DL18" s="2">
        <v>0</v>
      </c>
      <c r="DM18" s="2">
        <v>4.0472907650000005</v>
      </c>
      <c r="DN18" s="2">
        <v>0</v>
      </c>
      <c r="DO18" s="2">
        <v>1.669314271</v>
      </c>
      <c r="DP18" s="2">
        <v>16.024357095999999</v>
      </c>
      <c r="DQ18" s="2">
        <v>14.613253599</v>
      </c>
      <c r="DR18" s="2">
        <v>2.0865</v>
      </c>
      <c r="DS18" s="2">
        <v>3.1583999999999999</v>
      </c>
      <c r="DT18" s="2">
        <v>0</v>
      </c>
      <c r="DU18" s="2">
        <v>0</v>
      </c>
      <c r="DV18" s="2">
        <v>4.3409732759999997</v>
      </c>
      <c r="DW18" s="2">
        <v>11.687045700999999</v>
      </c>
      <c r="DX18" s="2">
        <v>4.6707148800000002</v>
      </c>
      <c r="DY18" s="2">
        <v>0</v>
      </c>
      <c r="DZ18" s="2">
        <v>0</v>
      </c>
      <c r="EA18" s="2">
        <v>10.33131141</v>
      </c>
      <c r="EB18" s="2">
        <v>20.777304687000001</v>
      </c>
      <c r="EC18" s="2">
        <v>5.8532370410000008</v>
      </c>
      <c r="ED18" s="2">
        <v>0</v>
      </c>
      <c r="EE18" s="2">
        <v>0</v>
      </c>
      <c r="EF18" s="2">
        <v>2.2041050380000002</v>
      </c>
      <c r="EG18" s="2">
        <v>1.664405224</v>
      </c>
      <c r="EH18" s="2">
        <v>39.274243515000002</v>
      </c>
      <c r="EI18" s="2">
        <v>0</v>
      </c>
      <c r="EJ18" s="2">
        <v>1.7377061169999999</v>
      </c>
      <c r="EK18" s="2">
        <v>3.7614200000000002</v>
      </c>
      <c r="EL18" s="2">
        <v>0</v>
      </c>
      <c r="EM18" s="2">
        <v>0.37568391300000004</v>
      </c>
      <c r="EN18" s="2">
        <v>26.691290497000001</v>
      </c>
      <c r="EO18" s="2">
        <v>24.557119999999998</v>
      </c>
      <c r="EP18" s="2">
        <v>40.567587854999999</v>
      </c>
      <c r="EQ18" s="2">
        <v>1.414507</v>
      </c>
      <c r="ER18" s="2">
        <v>0.12207827</v>
      </c>
      <c r="ES18" s="2">
        <v>1.3885054000000001E-2</v>
      </c>
      <c r="ET18" s="2">
        <v>0.14469523100000001</v>
      </c>
      <c r="EU18" s="2">
        <v>31.277338400000001</v>
      </c>
      <c r="EV18" s="2">
        <v>0</v>
      </c>
      <c r="EW18" s="2">
        <v>1.103491276</v>
      </c>
      <c r="EX18" s="2">
        <v>1.698349383</v>
      </c>
      <c r="EY18" s="2">
        <v>53.240218347000003</v>
      </c>
      <c r="EZ18" s="2">
        <v>3.8756481890000001</v>
      </c>
      <c r="FA18" s="2">
        <v>24.565155237999999</v>
      </c>
      <c r="FB18" s="2">
        <v>0</v>
      </c>
      <c r="FC18" s="2">
        <v>0.27059453999999999</v>
      </c>
      <c r="FD18" s="2">
        <v>1.7168108119999999</v>
      </c>
      <c r="FE18" s="2">
        <v>0</v>
      </c>
      <c r="FF18" s="2">
        <v>1.624250969</v>
      </c>
      <c r="FG18" s="2">
        <v>0</v>
      </c>
      <c r="FH18" s="2">
        <v>34.299680800000004</v>
      </c>
      <c r="FI18" s="2">
        <v>0</v>
      </c>
      <c r="FJ18" s="2">
        <v>0.72205544199999994</v>
      </c>
      <c r="FK18" s="2">
        <v>0</v>
      </c>
      <c r="FL18" s="2">
        <v>0</v>
      </c>
      <c r="FM18" s="2">
        <v>43.546464012999998</v>
      </c>
      <c r="FN18" s="2">
        <v>0.80665724500000002</v>
      </c>
      <c r="FO18" s="2">
        <v>0</v>
      </c>
      <c r="FP18" s="2">
        <v>0.95873413299999999</v>
      </c>
      <c r="FQ18" s="2">
        <v>0</v>
      </c>
      <c r="FR18" s="2">
        <v>21.929734400000001</v>
      </c>
      <c r="FS18" s="2">
        <v>0</v>
      </c>
      <c r="FT18" s="2">
        <v>0</v>
      </c>
      <c r="FU18" s="2">
        <v>0</v>
      </c>
      <c r="FV18" s="2">
        <v>0</v>
      </c>
      <c r="FW18" s="2">
        <v>1.478615719</v>
      </c>
      <c r="FX18" s="2">
        <v>34.8849424</v>
      </c>
      <c r="FY18" s="2">
        <v>0.117234475</v>
      </c>
      <c r="FZ18" s="2">
        <v>0</v>
      </c>
      <c r="GA18" s="2">
        <v>0</v>
      </c>
      <c r="GB18" s="22">
        <v>0</v>
      </c>
      <c r="GC18" s="22">
        <v>0</v>
      </c>
      <c r="GD18" s="22">
        <v>22.536080000000002</v>
      </c>
      <c r="GE18" s="22">
        <v>0</v>
      </c>
      <c r="GF18" s="22">
        <v>0</v>
      </c>
      <c r="GG18" s="22">
        <v>0</v>
      </c>
      <c r="GH18" s="22">
        <v>1.2136622779999999</v>
      </c>
      <c r="GI18" s="22">
        <v>0</v>
      </c>
      <c r="GJ18" s="22">
        <v>23.2447768</v>
      </c>
      <c r="GK18" s="22">
        <v>0</v>
      </c>
      <c r="GL18" s="23">
        <v>0</v>
      </c>
      <c r="GM18" s="23">
        <v>0</v>
      </c>
      <c r="GN18" s="23">
        <v>0</v>
      </c>
      <c r="GO18" s="23">
        <v>0</v>
      </c>
      <c r="GP18" s="23">
        <v>0</v>
      </c>
      <c r="GQ18" s="23">
        <v>0</v>
      </c>
      <c r="GR18" s="23">
        <v>26.444220000000001</v>
      </c>
      <c r="GS18" s="23">
        <v>3.0449650000000004</v>
      </c>
      <c r="GT18" s="23">
        <v>0</v>
      </c>
      <c r="GU18" s="23">
        <v>0</v>
      </c>
      <c r="GV18" s="23">
        <v>-3.0449650000000004</v>
      </c>
      <c r="GW18" s="23">
        <v>40.692288976</v>
      </c>
      <c r="GX18" s="23">
        <v>1.2959559999999999</v>
      </c>
      <c r="GY18" s="23">
        <v>18.272828000000001</v>
      </c>
      <c r="GZ18" s="23">
        <v>3.8269555199999998</v>
      </c>
      <c r="HA18" s="23">
        <v>3.2502249999999999</v>
      </c>
      <c r="HB18" s="23">
        <v>0</v>
      </c>
      <c r="HC18" s="23">
        <v>38.316631209999997</v>
      </c>
      <c r="HD18" s="23">
        <v>0</v>
      </c>
      <c r="HE18" s="23">
        <v>0</v>
      </c>
      <c r="HF18" s="23"/>
      <c r="HG18" s="23"/>
      <c r="HH18" s="23"/>
      <c r="HI18" s="23"/>
    </row>
    <row r="19" spans="1:217">
      <c r="A19" s="29" t="s">
        <v>61</v>
      </c>
      <c r="B19" s="2">
        <v>0</v>
      </c>
      <c r="C19" s="2">
        <v>0</v>
      </c>
      <c r="D19" s="2">
        <v>2.4649379819999999</v>
      </c>
      <c r="E19" s="2">
        <v>35.361785731000005</v>
      </c>
      <c r="F19" s="2">
        <v>0.31342044800000002</v>
      </c>
      <c r="G19" s="2">
        <v>0.5122951819999999</v>
      </c>
      <c r="H19" s="2">
        <v>0.80066457499999999</v>
      </c>
      <c r="I19" s="2">
        <v>0.85667815599999997</v>
      </c>
      <c r="J19" s="2">
        <v>1.1366820609999999</v>
      </c>
      <c r="K19" s="2">
        <v>0.95541572599999991</v>
      </c>
      <c r="L19" s="2">
        <v>2.0348734509999997</v>
      </c>
      <c r="M19" s="2">
        <v>3.1752904879999999</v>
      </c>
      <c r="N19" s="2">
        <v>0.26163439199999999</v>
      </c>
      <c r="O19" s="2">
        <v>0.65097139599999998</v>
      </c>
      <c r="P19" s="2">
        <v>0.362789898</v>
      </c>
      <c r="Q19" s="2">
        <v>0.24896457299999999</v>
      </c>
      <c r="R19" s="2">
        <v>0.18928235399999999</v>
      </c>
      <c r="S19" s="2">
        <v>1.1212338319999999</v>
      </c>
      <c r="T19" s="2">
        <v>0.59120223599999999</v>
      </c>
      <c r="U19" s="2">
        <v>0.76274843399999992</v>
      </c>
      <c r="V19" s="2">
        <v>0.88009203199999997</v>
      </c>
      <c r="W19" s="2">
        <v>1.8331972140000001</v>
      </c>
      <c r="X19" s="2">
        <v>3.2817433399999998</v>
      </c>
      <c r="Y19" s="2">
        <v>1.255208281</v>
      </c>
      <c r="Z19" s="2">
        <v>0.439495362</v>
      </c>
      <c r="AA19" s="2">
        <v>0.92468306099999997</v>
      </c>
      <c r="AB19" s="2">
        <v>1.1117609829999999</v>
      </c>
      <c r="AC19" s="2">
        <v>1.3364381060000001</v>
      </c>
      <c r="AD19" s="2">
        <v>1.4347539890000001</v>
      </c>
      <c r="AE19" s="2">
        <v>0.60204588599999997</v>
      </c>
      <c r="AF19" s="2">
        <v>3.3151614380000001</v>
      </c>
      <c r="AG19" s="2">
        <v>0.97950900200000002</v>
      </c>
      <c r="AH19" s="2">
        <v>2.7986871850000004</v>
      </c>
      <c r="AI19" s="2">
        <v>0.58117437299999997</v>
      </c>
      <c r="AJ19" s="2">
        <v>1.2973961890000001</v>
      </c>
      <c r="AK19" s="2">
        <v>3.6115130239999997</v>
      </c>
      <c r="AL19" s="2">
        <v>0.114901484</v>
      </c>
      <c r="AM19" s="2">
        <v>0.60632145300000007</v>
      </c>
      <c r="AN19" s="2">
        <v>0.7795974200000001</v>
      </c>
      <c r="AO19" s="2">
        <v>1.0315508740000001</v>
      </c>
      <c r="AP19" s="2">
        <v>1.1732480869999999</v>
      </c>
      <c r="AQ19" s="2">
        <v>1.6836096760000001</v>
      </c>
      <c r="AR19" s="2">
        <v>0.89953821899999997</v>
      </c>
      <c r="AS19" s="2">
        <v>1.0736340820000001</v>
      </c>
      <c r="AT19" s="2">
        <v>1.9891389340000001</v>
      </c>
      <c r="AU19" s="2">
        <v>0.726977753</v>
      </c>
      <c r="AV19" s="2">
        <v>2.4910698440000001</v>
      </c>
      <c r="AW19" s="2">
        <v>2.70647891</v>
      </c>
      <c r="AX19" s="2">
        <v>0.195116611</v>
      </c>
      <c r="AY19" s="2">
        <v>0.58085659199999995</v>
      </c>
      <c r="AZ19" s="2">
        <v>0.55466222799999998</v>
      </c>
      <c r="BA19" s="2">
        <v>0.27466903500000001</v>
      </c>
      <c r="BB19" s="2">
        <v>0.69156331199999999</v>
      </c>
      <c r="BC19" s="2">
        <v>0.79431006900000001</v>
      </c>
      <c r="BD19" s="2">
        <v>0.37171174400000001</v>
      </c>
      <c r="BE19" s="2">
        <v>0.14577381</v>
      </c>
      <c r="BF19" s="2">
        <v>0.19016949399999999</v>
      </c>
      <c r="BG19" s="2">
        <v>0.91519926399999996</v>
      </c>
      <c r="BH19" s="2">
        <v>5.2079416929999995</v>
      </c>
      <c r="BI19" s="2">
        <v>102.725661407</v>
      </c>
      <c r="BJ19" s="2">
        <v>0.36009961399999996</v>
      </c>
      <c r="BK19" s="2">
        <v>2.1278009519999999</v>
      </c>
      <c r="BL19" s="2">
        <v>0.319953284</v>
      </c>
      <c r="BM19" s="2">
        <v>0.57196477600000006</v>
      </c>
      <c r="BN19" s="2">
        <v>12.496240605000001</v>
      </c>
      <c r="BO19" s="2">
        <v>0.29156156999999999</v>
      </c>
      <c r="BP19" s="2">
        <v>0.33791342699999999</v>
      </c>
      <c r="BQ19" s="2">
        <v>7.3655999999999999E-2</v>
      </c>
      <c r="BR19" s="2">
        <v>0.103354258</v>
      </c>
      <c r="BS19" s="2">
        <v>0.378</v>
      </c>
      <c r="BT19" s="2">
        <v>1.475084149</v>
      </c>
      <c r="BU19" s="2">
        <v>15.418917477000001</v>
      </c>
      <c r="BV19" s="2">
        <v>2.4460450009999999</v>
      </c>
      <c r="BW19" s="2">
        <v>0.29626545099999996</v>
      </c>
      <c r="BX19" s="2">
        <v>1.320302353</v>
      </c>
      <c r="BY19" s="2">
        <v>0.339988554</v>
      </c>
      <c r="BZ19" s="2">
        <v>1.1125999999999998</v>
      </c>
      <c r="CA19" s="2">
        <v>0.65714819999999996</v>
      </c>
      <c r="CB19" s="2">
        <v>0.38966905699999999</v>
      </c>
      <c r="CC19" s="2">
        <v>-0.17730964800000001</v>
      </c>
      <c r="CD19" s="2">
        <v>0.41987786300000002</v>
      </c>
      <c r="CE19" s="2">
        <v>32.709726658000001</v>
      </c>
      <c r="CF19" s="2">
        <v>2.82657135</v>
      </c>
      <c r="CG19" s="2">
        <v>-11.700420093999998</v>
      </c>
      <c r="CH19" s="2">
        <v>6.3562800000000003E-2</v>
      </c>
      <c r="CI19" s="2">
        <v>0.29686408999999997</v>
      </c>
      <c r="CJ19" s="2">
        <v>0.42198897899999999</v>
      </c>
      <c r="CK19" s="2">
        <v>8.6472475149999983</v>
      </c>
      <c r="CL19" s="2">
        <v>0.94729005700000002</v>
      </c>
      <c r="CM19" s="2">
        <v>3.5289715200000003</v>
      </c>
      <c r="CN19" s="2">
        <v>12.246167939000001</v>
      </c>
      <c r="CO19" s="2">
        <v>0.77189296200000002</v>
      </c>
      <c r="CP19" s="2">
        <v>18.992673361000001</v>
      </c>
      <c r="CQ19" s="2">
        <v>27.093741060999999</v>
      </c>
      <c r="CR19" s="2">
        <v>9.28995864</v>
      </c>
      <c r="CS19" s="2">
        <v>110.951500037</v>
      </c>
      <c r="CT19" s="2">
        <v>10.671932349999999</v>
      </c>
      <c r="CU19" s="2">
        <v>18.522827059999997</v>
      </c>
      <c r="CV19" s="2">
        <v>0</v>
      </c>
      <c r="CW19" s="2">
        <v>0.35621102999999998</v>
      </c>
      <c r="CX19" s="2">
        <v>12.863981212000001</v>
      </c>
      <c r="CY19" s="2">
        <v>43.703884883999997</v>
      </c>
      <c r="CZ19" s="2">
        <v>127.66132573199999</v>
      </c>
      <c r="DA19" s="2">
        <v>2.6200117399999998</v>
      </c>
      <c r="DB19" s="2">
        <v>8.1266874639999997</v>
      </c>
      <c r="DC19" s="2">
        <v>8.394590225</v>
      </c>
      <c r="DD19" s="2">
        <v>9.0157960839999998</v>
      </c>
      <c r="DE19" s="2">
        <v>273.51454271900002</v>
      </c>
      <c r="DF19" s="2">
        <v>36.295371249999995</v>
      </c>
      <c r="DG19" s="2">
        <v>15.136873952</v>
      </c>
      <c r="DH19" s="2">
        <v>4.5230516610000002</v>
      </c>
      <c r="DI19" s="2">
        <v>0</v>
      </c>
      <c r="DJ19" s="2">
        <v>0.25938</v>
      </c>
      <c r="DK19" s="2">
        <v>19.058910156000003</v>
      </c>
      <c r="DL19" s="2">
        <v>10.039039431999999</v>
      </c>
      <c r="DM19" s="2">
        <v>0.87919823799999997</v>
      </c>
      <c r="DN19" s="2">
        <v>-24.495726910000002</v>
      </c>
      <c r="DO19" s="2">
        <v>-1.5603772579999999</v>
      </c>
      <c r="DP19" s="2">
        <v>108.28546074500001</v>
      </c>
      <c r="DQ19" s="2">
        <v>165.05932175699999</v>
      </c>
      <c r="DR19" s="2">
        <v>26.574498186</v>
      </c>
      <c r="DS19" s="2">
        <v>1.92382294</v>
      </c>
      <c r="DT19" s="2">
        <v>39.483565184</v>
      </c>
      <c r="DU19" s="2">
        <v>14.449272572</v>
      </c>
      <c r="DV19" s="2">
        <v>34.491364802999996</v>
      </c>
      <c r="DW19" s="2">
        <v>0.26440771099999999</v>
      </c>
      <c r="DX19" s="2">
        <v>6.6414345020000001</v>
      </c>
      <c r="DY19" s="2">
        <v>0.75905181600000005</v>
      </c>
      <c r="DZ19" s="2">
        <v>7.4840456999999999E-2</v>
      </c>
      <c r="EA19" s="2">
        <v>3.4147699880000002</v>
      </c>
      <c r="EB19" s="2">
        <v>-2.2450286150000003</v>
      </c>
      <c r="EC19" s="2">
        <v>10.282443804</v>
      </c>
      <c r="ED19" s="2">
        <v>0.49161004699999999</v>
      </c>
      <c r="EE19" s="2">
        <v>0.59419466600000004</v>
      </c>
      <c r="EF19" s="2">
        <v>1.283623266</v>
      </c>
      <c r="EG19" s="2">
        <v>0.87309881199999995</v>
      </c>
      <c r="EH19" s="2">
        <v>0.28064799000000001</v>
      </c>
      <c r="EI19" s="2">
        <v>0.65028697299999993</v>
      </c>
      <c r="EJ19" s="2">
        <v>2.0476119269999997</v>
      </c>
      <c r="EK19" s="2">
        <v>0</v>
      </c>
      <c r="EL19" s="2">
        <v>4.7573147049999998</v>
      </c>
      <c r="EM19" s="2">
        <v>1.0580819859999999</v>
      </c>
      <c r="EN19" s="2">
        <v>80.921729009999993</v>
      </c>
      <c r="EO19" s="2">
        <v>46.191458709999999</v>
      </c>
      <c r="EP19" s="2">
        <v>0.22702087000000001</v>
      </c>
      <c r="EQ19" s="2">
        <v>0</v>
      </c>
      <c r="ER19" s="2">
        <v>4.638500839999999</v>
      </c>
      <c r="ES19" s="2">
        <v>19.916830774999998</v>
      </c>
      <c r="ET19" s="2">
        <v>60.387962780999999</v>
      </c>
      <c r="EU19" s="2">
        <v>0.26155326300000004</v>
      </c>
      <c r="EV19" s="2">
        <v>0.16776039000000001</v>
      </c>
      <c r="EW19" s="2">
        <v>0</v>
      </c>
      <c r="EX19" s="2">
        <v>1.560598309</v>
      </c>
      <c r="EY19" s="2">
        <v>0.32874863900000001</v>
      </c>
      <c r="EZ19" s="2">
        <v>1.1643436730000001</v>
      </c>
      <c r="FA19" s="2">
        <v>63.784551166</v>
      </c>
      <c r="FB19" s="2">
        <v>0</v>
      </c>
      <c r="FC19" s="2">
        <v>0</v>
      </c>
      <c r="FD19" s="2">
        <v>6.6463261249999999</v>
      </c>
      <c r="FE19" s="2">
        <v>0.22637886900000001</v>
      </c>
      <c r="FF19" s="2">
        <v>2.934074909</v>
      </c>
      <c r="FG19" s="2">
        <v>0</v>
      </c>
      <c r="FH19" s="2">
        <v>2.5052423620000002</v>
      </c>
      <c r="FI19" s="2">
        <v>6.0408878990000003</v>
      </c>
      <c r="FJ19" s="2">
        <v>0.33515200000000001</v>
      </c>
      <c r="FK19" s="2">
        <v>0.483365296</v>
      </c>
      <c r="FL19" s="2">
        <v>43.002195727</v>
      </c>
      <c r="FM19" s="2">
        <v>85.091411062000006</v>
      </c>
      <c r="FN19" s="2">
        <v>0.20612411999999999</v>
      </c>
      <c r="FO19" s="2">
        <v>1.3865647980000002</v>
      </c>
      <c r="FP19" s="2">
        <v>0.86992947100000007</v>
      </c>
      <c r="FQ19" s="2">
        <v>0</v>
      </c>
      <c r="FR19" s="2">
        <v>17.617339828999999</v>
      </c>
      <c r="FS19" s="2">
        <v>0.22582017700000001</v>
      </c>
      <c r="FT19" s="2">
        <v>0.13951872199999998</v>
      </c>
      <c r="FU19" s="2">
        <v>0.18880950300000002</v>
      </c>
      <c r="FV19" s="2">
        <v>9.3131235550000007</v>
      </c>
      <c r="FW19" s="2">
        <v>92.999460661000001</v>
      </c>
      <c r="FX19" s="2">
        <v>41.986814219000003</v>
      </c>
      <c r="FY19" s="2">
        <v>3.9737039220000003</v>
      </c>
      <c r="FZ19" s="2">
        <v>0</v>
      </c>
      <c r="GA19" s="2">
        <v>7.0011292380000008</v>
      </c>
      <c r="GB19" s="22">
        <v>0.97379669999999996</v>
      </c>
      <c r="GC19" s="22">
        <v>0.87226974600000007</v>
      </c>
      <c r="GD19" s="22">
        <v>6.6663784370000005</v>
      </c>
      <c r="GE19" s="22">
        <v>2.782971844</v>
      </c>
      <c r="GF19" s="22">
        <v>0</v>
      </c>
      <c r="GG19" s="22">
        <v>1.569933062</v>
      </c>
      <c r="GH19" s="22">
        <v>94.493184659999997</v>
      </c>
      <c r="GI19" s="22">
        <v>2.908148175</v>
      </c>
      <c r="GJ19" s="22">
        <v>3.0912595230000002</v>
      </c>
      <c r="GK19" s="22">
        <v>0</v>
      </c>
      <c r="GL19" s="23">
        <v>26.531339839000001</v>
      </c>
      <c r="GM19" s="23">
        <v>0</v>
      </c>
      <c r="GN19" s="23">
        <v>0</v>
      </c>
      <c r="GO19" s="23">
        <v>1.3898367659999999</v>
      </c>
      <c r="GP19" s="23">
        <v>0.89346434899999994</v>
      </c>
      <c r="GQ19" s="23">
        <v>1.0523506090000001</v>
      </c>
      <c r="GR19" s="23">
        <v>0.39690998900000002</v>
      </c>
      <c r="GS19" s="23">
        <v>0</v>
      </c>
      <c r="GT19" s="23">
        <v>4.3730663379999992</v>
      </c>
      <c r="GU19" s="23">
        <v>55.749459031000001</v>
      </c>
      <c r="GV19" s="23">
        <v>0.74378904899999998</v>
      </c>
      <c r="GW19" s="23">
        <v>0.42422557999999999</v>
      </c>
      <c r="GX19" s="23">
        <v>9.2660607060000011</v>
      </c>
      <c r="GY19" s="23">
        <v>0</v>
      </c>
      <c r="GZ19" s="23">
        <v>0</v>
      </c>
      <c r="HA19" s="23">
        <v>3.4009976000000002</v>
      </c>
      <c r="HB19" s="23">
        <v>0</v>
      </c>
      <c r="HC19" s="23">
        <v>2.2638182809999998</v>
      </c>
      <c r="HD19" s="23">
        <v>0</v>
      </c>
      <c r="HE19" s="23">
        <v>0</v>
      </c>
      <c r="HF19" s="23"/>
      <c r="HG19" s="23"/>
      <c r="HH19" s="23"/>
      <c r="HI19" s="23"/>
    </row>
    <row r="20" spans="1:217">
      <c r="A20" s="29" t="s">
        <v>59</v>
      </c>
      <c r="B20" s="2">
        <v>0</v>
      </c>
      <c r="C20" s="2">
        <v>0</v>
      </c>
      <c r="D20" s="2">
        <v>2.4649379819999999</v>
      </c>
      <c r="E20" s="2">
        <v>35.361785731000005</v>
      </c>
      <c r="F20" s="2">
        <v>0.31342044800000002</v>
      </c>
      <c r="G20" s="2">
        <v>0.5122951819999999</v>
      </c>
      <c r="H20" s="2">
        <v>0.80066457499999999</v>
      </c>
      <c r="I20" s="2">
        <v>0.85667815599999997</v>
      </c>
      <c r="J20" s="2">
        <v>1.1366820609999999</v>
      </c>
      <c r="K20" s="2">
        <v>0.95541572599999991</v>
      </c>
      <c r="L20" s="2">
        <v>2.0348734509999997</v>
      </c>
      <c r="M20" s="2">
        <v>3.1752904879999999</v>
      </c>
      <c r="N20" s="2">
        <v>0.26163439199999999</v>
      </c>
      <c r="O20" s="2">
        <v>0.65097139599999998</v>
      </c>
      <c r="P20" s="2">
        <v>0.362789898</v>
      </c>
      <c r="Q20" s="2">
        <v>0.24896457299999999</v>
      </c>
      <c r="R20" s="2">
        <v>0.18928235399999999</v>
      </c>
      <c r="S20" s="2">
        <v>1.1212338319999999</v>
      </c>
      <c r="T20" s="2">
        <v>0.59120223599999999</v>
      </c>
      <c r="U20" s="2">
        <v>0.76274843399999992</v>
      </c>
      <c r="V20" s="2">
        <v>0.88009203199999997</v>
      </c>
      <c r="W20" s="2">
        <v>1.8331972140000001</v>
      </c>
      <c r="X20" s="2">
        <v>3.2817433399999998</v>
      </c>
      <c r="Y20" s="2">
        <v>1.255208281</v>
      </c>
      <c r="Z20" s="2">
        <v>0.439495362</v>
      </c>
      <c r="AA20" s="2">
        <v>0.92468306099999997</v>
      </c>
      <c r="AB20" s="2">
        <v>1.1117609829999999</v>
      </c>
      <c r="AC20" s="2">
        <v>1.3364381060000001</v>
      </c>
      <c r="AD20" s="2">
        <v>1.4347539890000001</v>
      </c>
      <c r="AE20" s="2">
        <v>0.60204588599999997</v>
      </c>
      <c r="AF20" s="2">
        <v>3.3151614380000001</v>
      </c>
      <c r="AG20" s="2">
        <v>0.97950900200000002</v>
      </c>
      <c r="AH20" s="2">
        <v>2.7986871850000004</v>
      </c>
      <c r="AI20" s="2">
        <v>0.58117437299999997</v>
      </c>
      <c r="AJ20" s="2">
        <v>1.2973961890000001</v>
      </c>
      <c r="AK20" s="2">
        <v>3.6115130239999997</v>
      </c>
      <c r="AL20" s="2">
        <v>0.114901484</v>
      </c>
      <c r="AM20" s="2">
        <v>0.60632145300000007</v>
      </c>
      <c r="AN20" s="2">
        <v>0.7795974200000001</v>
      </c>
      <c r="AO20" s="2">
        <v>1.0315508740000001</v>
      </c>
      <c r="AP20" s="2">
        <v>1.1732480869999999</v>
      </c>
      <c r="AQ20" s="2">
        <v>1.6836096760000001</v>
      </c>
      <c r="AR20" s="2">
        <v>0.89953821899999997</v>
      </c>
      <c r="AS20" s="2">
        <v>1.0736340820000001</v>
      </c>
      <c r="AT20" s="2">
        <v>1.9891389340000001</v>
      </c>
      <c r="AU20" s="2">
        <v>0.726977753</v>
      </c>
      <c r="AV20" s="2">
        <v>2.4910698440000001</v>
      </c>
      <c r="AW20" s="2">
        <v>2.70647891</v>
      </c>
      <c r="AX20" s="2">
        <v>0.195116611</v>
      </c>
      <c r="AY20" s="2">
        <v>0.58085659199999995</v>
      </c>
      <c r="AZ20" s="2">
        <v>0.55466222799999998</v>
      </c>
      <c r="BA20" s="2">
        <v>0.27466903500000001</v>
      </c>
      <c r="BB20" s="2">
        <v>0.69156331199999999</v>
      </c>
      <c r="BC20" s="2">
        <v>0.79431006900000001</v>
      </c>
      <c r="BD20" s="2">
        <v>0.37171174400000001</v>
      </c>
      <c r="BE20" s="2">
        <v>0.14577381</v>
      </c>
      <c r="BF20" s="2">
        <v>0.19016949399999999</v>
      </c>
      <c r="BG20" s="2">
        <v>0.91519926399999996</v>
      </c>
      <c r="BH20" s="2">
        <v>5.2079416929999995</v>
      </c>
      <c r="BI20" s="2">
        <v>102.725661407</v>
      </c>
      <c r="BJ20" s="2">
        <v>0.36009961399999996</v>
      </c>
      <c r="BK20" s="2">
        <v>2.1278009519999999</v>
      </c>
      <c r="BL20" s="2">
        <v>0.319953284</v>
      </c>
      <c r="BM20" s="2">
        <v>0.57196477600000006</v>
      </c>
      <c r="BN20" s="2">
        <v>12.496240605000001</v>
      </c>
      <c r="BO20" s="2">
        <v>0.29156156999999999</v>
      </c>
      <c r="BP20" s="2">
        <v>0.33791342699999999</v>
      </c>
      <c r="BQ20" s="2">
        <v>7.3655999999999999E-2</v>
      </c>
      <c r="BR20" s="2">
        <v>0.103354258</v>
      </c>
      <c r="BS20" s="2">
        <v>0.378</v>
      </c>
      <c r="BT20" s="2">
        <v>1.475084149</v>
      </c>
      <c r="BU20" s="2">
        <v>15.418917477000001</v>
      </c>
      <c r="BV20" s="2">
        <v>2.4460450009999999</v>
      </c>
      <c r="BW20" s="2">
        <v>0.29626545099999996</v>
      </c>
      <c r="BX20" s="2">
        <v>1.320302353</v>
      </c>
      <c r="BY20" s="2">
        <v>0.339988554</v>
      </c>
      <c r="BZ20" s="2">
        <v>1.1125999999999998</v>
      </c>
      <c r="CA20" s="2">
        <v>0.65714819999999996</v>
      </c>
      <c r="CB20" s="2">
        <v>0.38966905699999999</v>
      </c>
      <c r="CC20" s="2">
        <v>-0.17730964800000001</v>
      </c>
      <c r="CD20" s="2">
        <v>0.41987786300000002</v>
      </c>
      <c r="CE20" s="2">
        <v>32.709726658000001</v>
      </c>
      <c r="CF20" s="2">
        <v>2.82657135</v>
      </c>
      <c r="CG20" s="2">
        <v>-35.404664044999997</v>
      </c>
      <c r="CH20" s="2">
        <v>6.3562800000000003E-2</v>
      </c>
      <c r="CI20" s="2">
        <v>0.29686408999999997</v>
      </c>
      <c r="CJ20" s="2">
        <v>0.42198897899999999</v>
      </c>
      <c r="CK20" s="2">
        <v>8.6472475149999983</v>
      </c>
      <c r="CL20" s="2">
        <v>0.94729005700000002</v>
      </c>
      <c r="CM20" s="2">
        <v>3.5289715200000003</v>
      </c>
      <c r="CN20" s="2">
        <v>0.300815479</v>
      </c>
      <c r="CO20" s="2">
        <v>0</v>
      </c>
      <c r="CP20" s="2">
        <v>0</v>
      </c>
      <c r="CQ20" s="2">
        <v>0</v>
      </c>
      <c r="CR20" s="2">
        <v>8.3119367999999999E-2</v>
      </c>
      <c r="CS20" s="2">
        <v>-5.9736666740000004</v>
      </c>
      <c r="CT20" s="2">
        <v>0.63917987400000009</v>
      </c>
      <c r="CU20" s="2">
        <v>0.13742704800000002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0.93385881800000003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7.6151635999999995E-2</v>
      </c>
      <c r="EQ20" s="2">
        <v>0</v>
      </c>
      <c r="ER20" s="2">
        <v>4.4648644809999993</v>
      </c>
      <c r="ES20" s="2">
        <v>0</v>
      </c>
      <c r="ET20" s="2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0.287718486</v>
      </c>
      <c r="FM20" s="2">
        <v>0.36482727300000001</v>
      </c>
      <c r="FN20" s="2">
        <v>0.20612411999999999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0.13951872199999998</v>
      </c>
      <c r="FU20" s="2">
        <v>0</v>
      </c>
      <c r="FV20" s="2">
        <v>4.8313997999999997E-2</v>
      </c>
      <c r="FW20" s="2">
        <v>9.5454545000000002E-2</v>
      </c>
      <c r="FX20" s="2">
        <v>1.2044001040000001</v>
      </c>
      <c r="FY20" s="2">
        <v>0</v>
      </c>
      <c r="FZ20" s="2">
        <v>0</v>
      </c>
      <c r="GA20" s="2">
        <v>0</v>
      </c>
      <c r="GB20" s="22">
        <v>0</v>
      </c>
      <c r="GC20" s="22">
        <v>0</v>
      </c>
      <c r="GD20" s="22">
        <v>0</v>
      </c>
      <c r="GE20" s="22">
        <v>0</v>
      </c>
      <c r="GF20" s="22">
        <v>0</v>
      </c>
      <c r="GG20" s="22">
        <v>0</v>
      </c>
      <c r="GH20" s="22">
        <v>0</v>
      </c>
      <c r="GI20" s="22">
        <v>0</v>
      </c>
      <c r="GJ20" s="22">
        <v>0</v>
      </c>
      <c r="GK20" s="22">
        <v>0</v>
      </c>
      <c r="GL20" s="23">
        <v>0</v>
      </c>
      <c r="GM20" s="23">
        <v>0</v>
      </c>
      <c r="GN20" s="23">
        <v>0</v>
      </c>
      <c r="GO20" s="23">
        <v>0</v>
      </c>
      <c r="GP20" s="23">
        <v>0</v>
      </c>
      <c r="GQ20" s="23">
        <v>0</v>
      </c>
      <c r="GR20" s="23">
        <v>0</v>
      </c>
      <c r="GS20" s="23">
        <v>0</v>
      </c>
      <c r="GT20" s="23">
        <v>0</v>
      </c>
      <c r="GU20" s="23">
        <v>0</v>
      </c>
      <c r="GV20" s="23">
        <v>0</v>
      </c>
      <c r="GW20" s="23">
        <v>0</v>
      </c>
      <c r="GX20" s="23">
        <v>0</v>
      </c>
      <c r="GY20" s="23">
        <v>0</v>
      </c>
      <c r="GZ20" s="23">
        <v>0</v>
      </c>
      <c r="HA20" s="23">
        <v>0</v>
      </c>
      <c r="HB20" s="23">
        <v>0</v>
      </c>
      <c r="HC20" s="23">
        <v>0</v>
      </c>
      <c r="HD20" s="23">
        <v>0</v>
      </c>
      <c r="HE20" s="23">
        <v>0</v>
      </c>
      <c r="HF20" s="23"/>
      <c r="HG20" s="23"/>
      <c r="HH20" s="23"/>
      <c r="HI20" s="23"/>
    </row>
    <row r="21" spans="1:217">
      <c r="A21" s="29" t="s">
        <v>60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23.704243950999999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11.945352460000001</v>
      </c>
      <c r="CO21" s="2">
        <v>0.77189296200000002</v>
      </c>
      <c r="CP21" s="2">
        <v>18.992673361000001</v>
      </c>
      <c r="CQ21" s="2">
        <v>27.093741060999999</v>
      </c>
      <c r="CR21" s="2">
        <v>9.2068392719999999</v>
      </c>
      <c r="CS21" s="2">
        <v>116.925166711</v>
      </c>
      <c r="CT21" s="2">
        <v>10.032752475999999</v>
      </c>
      <c r="CU21" s="2">
        <v>18.385400011999998</v>
      </c>
      <c r="CV21" s="2">
        <v>0</v>
      </c>
      <c r="CW21" s="2">
        <v>0.35621102999999998</v>
      </c>
      <c r="CX21" s="2">
        <v>12.863981212000001</v>
      </c>
      <c r="CY21" s="2">
        <v>43.703884883999997</v>
      </c>
      <c r="CZ21" s="2">
        <v>127.66132573199999</v>
      </c>
      <c r="DA21" s="2">
        <v>1.686152922</v>
      </c>
      <c r="DB21" s="2">
        <v>8.1266874639999997</v>
      </c>
      <c r="DC21" s="2">
        <v>8.394590225</v>
      </c>
      <c r="DD21" s="2">
        <v>9.0157960839999998</v>
      </c>
      <c r="DE21" s="2">
        <v>273.51454271900002</v>
      </c>
      <c r="DF21" s="2">
        <v>36.295371249999995</v>
      </c>
      <c r="DG21" s="2">
        <v>15.136873952</v>
      </c>
      <c r="DH21" s="2">
        <v>4.5230516610000002</v>
      </c>
      <c r="DI21" s="2">
        <v>0</v>
      </c>
      <c r="DJ21" s="2">
        <v>0.25938</v>
      </c>
      <c r="DK21" s="2">
        <v>19.058910156000003</v>
      </c>
      <c r="DL21" s="2">
        <v>10.039039431999999</v>
      </c>
      <c r="DM21" s="2">
        <v>0.87919823799999997</v>
      </c>
      <c r="DN21" s="2">
        <v>-24.495726910000002</v>
      </c>
      <c r="DO21" s="2">
        <v>-1.5603772579999999</v>
      </c>
      <c r="DP21" s="2">
        <v>108.28546074500001</v>
      </c>
      <c r="DQ21" s="2">
        <v>165.05932175699999</v>
      </c>
      <c r="DR21" s="2">
        <v>26.574498186</v>
      </c>
      <c r="DS21" s="2">
        <v>1.92382294</v>
      </c>
      <c r="DT21" s="2">
        <v>39.483565184</v>
      </c>
      <c r="DU21" s="2">
        <v>14.449272572</v>
      </c>
      <c r="DV21" s="2">
        <v>34.491364802999996</v>
      </c>
      <c r="DW21" s="2">
        <v>0.26440771099999999</v>
      </c>
      <c r="DX21" s="2">
        <v>6.6414345020000001</v>
      </c>
      <c r="DY21" s="2">
        <v>0.75905181600000005</v>
      </c>
      <c r="DZ21" s="2">
        <v>7.4840456999999999E-2</v>
      </c>
      <c r="EA21" s="2">
        <v>3.4147699880000002</v>
      </c>
      <c r="EB21" s="2">
        <v>-2.2450286150000003</v>
      </c>
      <c r="EC21" s="2">
        <v>10.282443804</v>
      </c>
      <c r="ED21" s="2">
        <v>0.49161004699999999</v>
      </c>
      <c r="EE21" s="2">
        <v>0.59419466600000004</v>
      </c>
      <c r="EF21" s="2">
        <v>1.283623266</v>
      </c>
      <c r="EG21" s="2">
        <v>0.87309881199999995</v>
      </c>
      <c r="EH21" s="2">
        <v>0.28064799000000001</v>
      </c>
      <c r="EI21" s="2">
        <v>0.65028697299999993</v>
      </c>
      <c r="EJ21" s="2">
        <v>2.0476119269999997</v>
      </c>
      <c r="EK21" s="2">
        <v>0</v>
      </c>
      <c r="EL21" s="2">
        <v>4.7573147049999998</v>
      </c>
      <c r="EM21" s="2">
        <v>1.0580819859999999</v>
      </c>
      <c r="EN21" s="2">
        <v>80.921729009999993</v>
      </c>
      <c r="EO21" s="2">
        <v>46.191458709999999</v>
      </c>
      <c r="EP21" s="2">
        <v>0.15086923400000002</v>
      </c>
      <c r="EQ21" s="2">
        <v>0</v>
      </c>
      <c r="ER21" s="2">
        <v>0.17363635899999999</v>
      </c>
      <c r="ES21" s="2">
        <v>19.916830774999998</v>
      </c>
      <c r="ET21" s="2">
        <v>60.387962780999999</v>
      </c>
      <c r="EU21" s="2">
        <v>0.26155326300000004</v>
      </c>
      <c r="EV21" s="2">
        <v>0.16776039000000001</v>
      </c>
      <c r="EW21" s="2">
        <v>0</v>
      </c>
      <c r="EX21" s="2">
        <v>1.560598309</v>
      </c>
      <c r="EY21" s="2">
        <v>0.32874863900000001</v>
      </c>
      <c r="EZ21" s="2">
        <v>1.1643436730000001</v>
      </c>
      <c r="FA21" s="2">
        <v>63.784551166</v>
      </c>
      <c r="FB21" s="2">
        <v>0</v>
      </c>
      <c r="FC21" s="2">
        <v>0</v>
      </c>
      <c r="FD21" s="2">
        <v>6.6463261249999999</v>
      </c>
      <c r="FE21" s="2">
        <v>0.22637886900000001</v>
      </c>
      <c r="FF21" s="2">
        <v>2.934074909</v>
      </c>
      <c r="FG21" s="2">
        <v>0</v>
      </c>
      <c r="FH21" s="2">
        <v>2.5052423620000002</v>
      </c>
      <c r="FI21" s="2">
        <v>6.0408878990000003</v>
      </c>
      <c r="FJ21" s="2">
        <v>0.33515200000000001</v>
      </c>
      <c r="FK21" s="2">
        <v>0.483365296</v>
      </c>
      <c r="FL21" s="2">
        <v>42.714477240999997</v>
      </c>
      <c r="FM21" s="2">
        <v>84.726583789000003</v>
      </c>
      <c r="FN21" s="2">
        <v>0</v>
      </c>
      <c r="FO21" s="2">
        <v>1.3865647980000002</v>
      </c>
      <c r="FP21" s="2">
        <v>0.86992947100000007</v>
      </c>
      <c r="FQ21" s="2">
        <v>0</v>
      </c>
      <c r="FR21" s="2">
        <v>17.617339828999999</v>
      </c>
      <c r="FS21" s="2">
        <v>0.22582017700000001</v>
      </c>
      <c r="FT21" s="2">
        <v>0</v>
      </c>
      <c r="FU21" s="2">
        <v>0.18880950300000002</v>
      </c>
      <c r="FV21" s="2">
        <v>9.2648095570000013</v>
      </c>
      <c r="FW21" s="2">
        <v>92.904006116000005</v>
      </c>
      <c r="FX21" s="2">
        <v>40.782414115000002</v>
      </c>
      <c r="FY21" s="2">
        <v>3.9737039220000003</v>
      </c>
      <c r="FZ21" s="2">
        <v>0</v>
      </c>
      <c r="GA21" s="2">
        <v>7.0011292380000008</v>
      </c>
      <c r="GB21" s="22">
        <v>0.97379669999999996</v>
      </c>
      <c r="GC21" s="22">
        <v>0.87226974600000007</v>
      </c>
      <c r="GD21" s="22">
        <v>6.6663784370000005</v>
      </c>
      <c r="GE21" s="22">
        <v>2.782971844</v>
      </c>
      <c r="GF21" s="22">
        <v>0</v>
      </c>
      <c r="GG21" s="22">
        <v>1.569933062</v>
      </c>
      <c r="GH21" s="22">
        <v>94.493184659999997</v>
      </c>
      <c r="GI21" s="22">
        <v>2.908148175</v>
      </c>
      <c r="GJ21" s="22">
        <v>3.0912595230000002</v>
      </c>
      <c r="GK21" s="22">
        <v>0</v>
      </c>
      <c r="GL21" s="23">
        <v>26.531339839000001</v>
      </c>
      <c r="GM21" s="23">
        <v>0</v>
      </c>
      <c r="GN21" s="23">
        <v>0</v>
      </c>
      <c r="GO21" s="23">
        <v>1.3898367659999999</v>
      </c>
      <c r="GP21" s="23">
        <v>0.89346434899999994</v>
      </c>
      <c r="GQ21" s="23">
        <v>1.0523506090000001</v>
      </c>
      <c r="GR21" s="23">
        <v>0.39690998900000002</v>
      </c>
      <c r="GS21" s="23">
        <v>0</v>
      </c>
      <c r="GT21" s="23">
        <v>4.3730663379999992</v>
      </c>
      <c r="GU21" s="23">
        <v>55.749459031000001</v>
      </c>
      <c r="GV21" s="23">
        <v>0.74378904899999998</v>
      </c>
      <c r="GW21" s="23">
        <v>0.42422557999999999</v>
      </c>
      <c r="GX21" s="23">
        <v>9.2660607060000011</v>
      </c>
      <c r="GY21" s="23">
        <v>0</v>
      </c>
      <c r="GZ21" s="23">
        <v>0</v>
      </c>
      <c r="HA21" s="23">
        <v>3.4009976000000002</v>
      </c>
      <c r="HB21" s="23">
        <v>0</v>
      </c>
      <c r="HC21" s="23">
        <v>2.2638182809999998</v>
      </c>
      <c r="HD21" s="23">
        <v>0</v>
      </c>
      <c r="HE21" s="23">
        <v>0</v>
      </c>
      <c r="HF21" s="23"/>
      <c r="HG21" s="23"/>
      <c r="HH21" s="23"/>
      <c r="HI21" s="23"/>
    </row>
    <row r="22" spans="1:217">
      <c r="A22" s="29" t="s">
        <v>62</v>
      </c>
      <c r="B22" s="2">
        <v>6.7242951330000009</v>
      </c>
      <c r="C22" s="2">
        <v>9.7691791820000002</v>
      </c>
      <c r="D22" s="2">
        <v>7.3063883810000005</v>
      </c>
      <c r="E22" s="2">
        <v>14.515936238</v>
      </c>
      <c r="F22" s="2">
        <v>6.000966011</v>
      </c>
      <c r="G22" s="2">
        <v>6.2617477739999998</v>
      </c>
      <c r="H22" s="2">
        <v>4.5499107080000005</v>
      </c>
      <c r="I22" s="2">
        <v>5.5645897939999998</v>
      </c>
      <c r="J22" s="2">
        <v>7.7601307070000001</v>
      </c>
      <c r="K22" s="2">
        <v>16.870913551999998</v>
      </c>
      <c r="L22" s="2">
        <v>22.188479051999998</v>
      </c>
      <c r="M22" s="2">
        <v>8.1768144420000013</v>
      </c>
      <c r="N22" s="2">
        <v>6.4734212810000002</v>
      </c>
      <c r="O22" s="2">
        <v>15.858719334000002</v>
      </c>
      <c r="P22" s="2">
        <v>15.889358178</v>
      </c>
      <c r="Q22" s="2">
        <v>11.487607710000001</v>
      </c>
      <c r="R22" s="2">
        <v>19.132825026999999</v>
      </c>
      <c r="S22" s="2">
        <v>23.275567396</v>
      </c>
      <c r="T22" s="2">
        <v>13.755427962000002</v>
      </c>
      <c r="U22" s="2">
        <v>13.486568226999999</v>
      </c>
      <c r="V22" s="2">
        <v>12.570335080000001</v>
      </c>
      <c r="W22" s="2">
        <v>19.383360285999998</v>
      </c>
      <c r="X22" s="2">
        <v>24.853416529</v>
      </c>
      <c r="Y22" s="2">
        <v>23.319203078999998</v>
      </c>
      <c r="Z22" s="2">
        <v>2.2527350949999998</v>
      </c>
      <c r="AA22" s="2">
        <v>10.444832313000001</v>
      </c>
      <c r="AB22" s="2">
        <v>21.867391833999999</v>
      </c>
      <c r="AC22" s="2">
        <v>23.582799564000002</v>
      </c>
      <c r="AD22" s="2">
        <v>21.908310406000002</v>
      </c>
      <c r="AE22" s="2">
        <v>10.120796969999999</v>
      </c>
      <c r="AF22" s="2">
        <v>16.078895725999999</v>
      </c>
      <c r="AG22" s="2">
        <v>12.748479409</v>
      </c>
      <c r="AH22" s="2">
        <v>16.026621023000001</v>
      </c>
      <c r="AI22" s="2">
        <v>8.7447765670000006</v>
      </c>
      <c r="AJ22" s="2">
        <v>16.726207819999999</v>
      </c>
      <c r="AK22" s="2">
        <v>15.360737200999999</v>
      </c>
      <c r="AL22" s="2">
        <v>13.247694054</v>
      </c>
      <c r="AM22" s="2">
        <v>15.251298951000001</v>
      </c>
      <c r="AN22" s="2">
        <v>3.1957904749999999</v>
      </c>
      <c r="AO22" s="2">
        <v>40.520004760000006</v>
      </c>
      <c r="AP22" s="2">
        <v>13.081876272000001</v>
      </c>
      <c r="AQ22" s="2">
        <v>54.581401146000005</v>
      </c>
      <c r="AR22" s="2">
        <v>18.394928952999997</v>
      </c>
      <c r="AS22" s="2">
        <v>10.685409698999999</v>
      </c>
      <c r="AT22" s="2">
        <v>20.440275892999999</v>
      </c>
      <c r="AU22" s="2">
        <v>15.193605085</v>
      </c>
      <c r="AV22" s="2">
        <v>10.957038536000001</v>
      </c>
      <c r="AW22" s="2">
        <v>9.5583696600000003</v>
      </c>
      <c r="AX22" s="2">
        <v>6.8493850550000008</v>
      </c>
      <c r="AY22" s="2">
        <v>35.160955484999995</v>
      </c>
      <c r="AZ22" s="2">
        <v>48.962619681999996</v>
      </c>
      <c r="BA22" s="2">
        <v>18.804807182000001</v>
      </c>
      <c r="BB22" s="2">
        <v>9.9416944069999982</v>
      </c>
      <c r="BC22" s="2">
        <v>17.192084171999998</v>
      </c>
      <c r="BD22" s="2">
        <v>12.327955641000001</v>
      </c>
      <c r="BE22" s="2">
        <v>15.783570743</v>
      </c>
      <c r="BF22" s="2">
        <v>7.5734242029999992</v>
      </c>
      <c r="BG22" s="2">
        <v>19.862175826999998</v>
      </c>
      <c r="BH22" s="2">
        <v>14.978695434</v>
      </c>
      <c r="BI22" s="2">
        <v>30.122972392999998</v>
      </c>
      <c r="BJ22" s="2">
        <v>116.05615245899999</v>
      </c>
      <c r="BK22" s="2">
        <v>20.390925065000001</v>
      </c>
      <c r="BL22" s="2">
        <v>48.605318320999999</v>
      </c>
      <c r="BM22" s="2">
        <v>15.019122136999998</v>
      </c>
      <c r="BN22" s="2">
        <v>19.451721445</v>
      </c>
      <c r="BO22" s="2">
        <v>21.60433394</v>
      </c>
      <c r="BP22" s="2">
        <v>7.894185427</v>
      </c>
      <c r="BQ22" s="2">
        <v>49.993445094000002</v>
      </c>
      <c r="BR22" s="2">
        <v>21.451875611999998</v>
      </c>
      <c r="BS22" s="2">
        <v>53.220106699999995</v>
      </c>
      <c r="BT22" s="2">
        <v>18.933585717000003</v>
      </c>
      <c r="BU22" s="2">
        <v>44.304690094999998</v>
      </c>
      <c r="BV22" s="2">
        <v>0.62277996699999993</v>
      </c>
      <c r="BW22" s="2">
        <v>34.204654845999997</v>
      </c>
      <c r="BX22" s="2">
        <v>77.438167820999993</v>
      </c>
      <c r="BY22" s="2">
        <v>34.592827557999996</v>
      </c>
      <c r="BZ22" s="2">
        <v>24.866735264000003</v>
      </c>
      <c r="CA22" s="2">
        <v>58.322987137999995</v>
      </c>
      <c r="CB22" s="2">
        <v>25.499217678000001</v>
      </c>
      <c r="CC22" s="2">
        <v>42.397898346000005</v>
      </c>
      <c r="CD22" s="2">
        <v>65.32767742499999</v>
      </c>
      <c r="CE22" s="2">
        <v>29.453107009</v>
      </c>
      <c r="CF22" s="2">
        <v>70.024974632999999</v>
      </c>
      <c r="CG22" s="2">
        <v>47.808666846000001</v>
      </c>
      <c r="CH22" s="2">
        <v>3.4875478330000003</v>
      </c>
      <c r="CI22" s="2">
        <v>25.587071805000001</v>
      </c>
      <c r="CJ22" s="2">
        <v>84.134699583</v>
      </c>
      <c r="CK22" s="2">
        <v>36.693283670999996</v>
      </c>
      <c r="CL22" s="2">
        <v>79.660669955000003</v>
      </c>
      <c r="CM22" s="2">
        <v>95.917540319000011</v>
      </c>
      <c r="CN22" s="2">
        <v>26.061488227000002</v>
      </c>
      <c r="CO22" s="2">
        <v>48.308602815999997</v>
      </c>
      <c r="CP22" s="2">
        <v>27.694091633999999</v>
      </c>
      <c r="CQ22" s="2">
        <v>100.58696033699999</v>
      </c>
      <c r="CR22" s="2">
        <v>37.009161884000001</v>
      </c>
      <c r="CS22" s="2">
        <v>104.132534519</v>
      </c>
      <c r="CT22" s="2">
        <v>11.660653672</v>
      </c>
      <c r="CU22" s="2">
        <v>12.042038113</v>
      </c>
      <c r="CV22" s="2">
        <v>64.138920995000007</v>
      </c>
      <c r="CW22" s="2">
        <v>75.089692577000008</v>
      </c>
      <c r="CX22" s="2">
        <v>43.400008018999998</v>
      </c>
      <c r="CY22" s="2">
        <v>34.057288136000004</v>
      </c>
      <c r="CZ22" s="2">
        <v>72.825156602999996</v>
      </c>
      <c r="DA22" s="2">
        <v>71.308573311999993</v>
      </c>
      <c r="DB22" s="2">
        <v>69.477920377000004</v>
      </c>
      <c r="DC22" s="2">
        <v>71.203796459000003</v>
      </c>
      <c r="DD22" s="2">
        <v>113.421237469</v>
      </c>
      <c r="DE22" s="2">
        <v>90.479500242000015</v>
      </c>
      <c r="DF22" s="2">
        <v>11.753044292999999</v>
      </c>
      <c r="DG22" s="2">
        <v>32.454010852999993</v>
      </c>
      <c r="DH22" s="2">
        <v>119.912913401</v>
      </c>
      <c r="DI22" s="2">
        <v>57.865611457999997</v>
      </c>
      <c r="DJ22" s="2">
        <v>66.319256893000002</v>
      </c>
      <c r="DK22" s="2">
        <v>57.271884699000005</v>
      </c>
      <c r="DL22" s="2">
        <v>73.584661218999997</v>
      </c>
      <c r="DM22" s="2">
        <v>67.568972615999996</v>
      </c>
      <c r="DN22" s="2">
        <v>100.990009931</v>
      </c>
      <c r="DO22" s="2">
        <v>90.480754136000002</v>
      </c>
      <c r="DP22" s="2">
        <v>83.768583419000009</v>
      </c>
      <c r="DQ22" s="2">
        <v>40.485915712000001</v>
      </c>
      <c r="DR22" s="2">
        <v>22.697498871999997</v>
      </c>
      <c r="DS22" s="2">
        <v>51.083705132000006</v>
      </c>
      <c r="DT22" s="2">
        <v>128.78992062100002</v>
      </c>
      <c r="DU22" s="2">
        <v>78.406418392999996</v>
      </c>
      <c r="DV22" s="2">
        <v>49.132134301000001</v>
      </c>
      <c r="DW22" s="2">
        <v>43.808636014000001</v>
      </c>
      <c r="DX22" s="2">
        <v>116.85790529999998</v>
      </c>
      <c r="DY22" s="2">
        <v>74.831581682999996</v>
      </c>
      <c r="DZ22" s="2">
        <v>46.926654315999997</v>
      </c>
      <c r="EA22" s="2">
        <v>90.040259509999998</v>
      </c>
      <c r="EB22" s="2">
        <v>45.279967032999998</v>
      </c>
      <c r="EC22" s="2">
        <v>91.449044753999999</v>
      </c>
      <c r="ED22" s="2">
        <v>15.033192479</v>
      </c>
      <c r="EE22" s="2">
        <v>107.135740951</v>
      </c>
      <c r="EF22" s="2">
        <v>71.992958162999997</v>
      </c>
      <c r="EG22" s="2">
        <v>39.959781548000002</v>
      </c>
      <c r="EH22" s="2">
        <v>86.094032249999998</v>
      </c>
      <c r="EI22" s="2">
        <v>33.662481792000001</v>
      </c>
      <c r="EJ22" s="2">
        <v>81.182797106999985</v>
      </c>
      <c r="EK22" s="2">
        <v>59.452955418999998</v>
      </c>
      <c r="EL22" s="2">
        <v>94.504540947999999</v>
      </c>
      <c r="EM22" s="2">
        <v>55.090986852</v>
      </c>
      <c r="EN22" s="2">
        <v>54.398406482000006</v>
      </c>
      <c r="EO22" s="2">
        <v>138.819758216</v>
      </c>
      <c r="EP22" s="2">
        <v>31.765201781999995</v>
      </c>
      <c r="EQ22" s="2">
        <v>48.825842010999999</v>
      </c>
      <c r="ER22" s="2">
        <v>87.915436626000016</v>
      </c>
      <c r="ES22" s="2">
        <v>52.165825288000001</v>
      </c>
      <c r="ET22" s="2">
        <v>60.463753820000001</v>
      </c>
      <c r="EU22" s="2">
        <v>66.014234647000009</v>
      </c>
      <c r="EV22" s="2">
        <v>56.934087713999993</v>
      </c>
      <c r="EW22" s="2">
        <v>73.249204246000005</v>
      </c>
      <c r="EX22" s="2">
        <v>53.307322968999998</v>
      </c>
      <c r="EY22" s="2">
        <v>65.183307350000007</v>
      </c>
      <c r="EZ22" s="2">
        <v>90.365363478000006</v>
      </c>
      <c r="FA22" s="2">
        <v>279.90205959899998</v>
      </c>
      <c r="FB22" s="2">
        <v>13.494319379999999</v>
      </c>
      <c r="FC22" s="2">
        <v>52.092394545999994</v>
      </c>
      <c r="FD22" s="2">
        <v>102.73879465099999</v>
      </c>
      <c r="FE22" s="2">
        <v>48.885389379999999</v>
      </c>
      <c r="FF22" s="2">
        <v>64.386862996999994</v>
      </c>
      <c r="FG22" s="2">
        <v>50.440711433000004</v>
      </c>
      <c r="FH22" s="2">
        <v>456.35314725800004</v>
      </c>
      <c r="FI22" s="2">
        <v>55.345629363</v>
      </c>
      <c r="FJ22" s="2">
        <v>59.059406286000005</v>
      </c>
      <c r="FK22" s="2">
        <v>59.482737897</v>
      </c>
      <c r="FL22" s="2">
        <v>68.544144566</v>
      </c>
      <c r="FM22" s="2">
        <v>82.973073048000003</v>
      </c>
      <c r="FN22" s="2">
        <v>40.606764815000005</v>
      </c>
      <c r="FO22" s="2">
        <v>51.697962661999995</v>
      </c>
      <c r="FP22" s="2">
        <v>68.211046581999994</v>
      </c>
      <c r="FQ22" s="2">
        <v>57.430151459000001</v>
      </c>
      <c r="FR22" s="2">
        <v>126.41993605</v>
      </c>
      <c r="FS22" s="2">
        <v>66.329034831999991</v>
      </c>
      <c r="FT22" s="2">
        <v>66.002604036000008</v>
      </c>
      <c r="FU22" s="2">
        <v>62.500304488000005</v>
      </c>
      <c r="FV22" s="2">
        <v>64.031650466000002</v>
      </c>
      <c r="FW22" s="2">
        <v>65.56997447000002</v>
      </c>
      <c r="FX22" s="2">
        <v>62.747802608999997</v>
      </c>
      <c r="FY22" s="2">
        <v>85.522393813999997</v>
      </c>
      <c r="FZ22" s="2">
        <v>47.868066349999999</v>
      </c>
      <c r="GA22" s="2">
        <v>60.104376923999993</v>
      </c>
      <c r="GB22" s="22">
        <v>97.286823102</v>
      </c>
      <c r="GC22" s="22">
        <v>516.03500395600008</v>
      </c>
      <c r="GD22" s="22">
        <v>130.265084129</v>
      </c>
      <c r="GE22" s="22">
        <v>66.669540217999995</v>
      </c>
      <c r="GF22" s="22">
        <v>77.039109077999996</v>
      </c>
      <c r="GG22" s="22">
        <v>73.288075731000006</v>
      </c>
      <c r="GH22" s="22">
        <v>99.423551892999996</v>
      </c>
      <c r="GI22" s="22">
        <v>67.415896836999991</v>
      </c>
      <c r="GJ22" s="22">
        <v>66.569947692</v>
      </c>
      <c r="GK22" s="22">
        <v>169.35909274599999</v>
      </c>
      <c r="GL22" s="23">
        <v>52.031245059</v>
      </c>
      <c r="GM22" s="23">
        <v>76.940579399000001</v>
      </c>
      <c r="GN22" s="23">
        <v>100.16844482600001</v>
      </c>
      <c r="GO22" s="23">
        <v>101.39704252100002</v>
      </c>
      <c r="GP22" s="23">
        <v>83.094521419999992</v>
      </c>
      <c r="GQ22" s="23">
        <v>91.592393697999995</v>
      </c>
      <c r="GR22" s="23">
        <v>96.415688990000007</v>
      </c>
      <c r="GS22" s="23">
        <v>87.492364181999989</v>
      </c>
      <c r="GT22" s="23">
        <v>88.525746821000013</v>
      </c>
      <c r="GU22" s="23">
        <v>100.43581452100001</v>
      </c>
      <c r="GV22" s="23">
        <v>242.15037158600001</v>
      </c>
      <c r="GW22" s="23">
        <v>147.24209699900001</v>
      </c>
      <c r="GX22" s="23">
        <v>58.044035133000008</v>
      </c>
      <c r="GY22" s="23">
        <v>100.410385918</v>
      </c>
      <c r="GZ22" s="23">
        <v>117.557764107</v>
      </c>
      <c r="HA22" s="23">
        <v>78.074444397999997</v>
      </c>
      <c r="HB22" s="23">
        <v>81.076717403000004</v>
      </c>
      <c r="HC22" s="23">
        <v>68.380724942000001</v>
      </c>
      <c r="HD22" s="23">
        <v>79.057577239000011</v>
      </c>
      <c r="HE22" s="23">
        <v>88.219147158000013</v>
      </c>
      <c r="HF22" s="23"/>
      <c r="HG22" s="23"/>
      <c r="HH22" s="23"/>
      <c r="HI22" s="23"/>
    </row>
    <row r="23" spans="1:217">
      <c r="A23" s="29" t="s">
        <v>59</v>
      </c>
      <c r="B23" s="2">
        <v>6.7242951330000009</v>
      </c>
      <c r="C23" s="2">
        <v>9.7691791820000002</v>
      </c>
      <c r="D23" s="2">
        <v>7.3063883810000005</v>
      </c>
      <c r="E23" s="2">
        <v>14.515936238</v>
      </c>
      <c r="F23" s="2">
        <v>3.2739660110000002</v>
      </c>
      <c r="G23" s="2">
        <v>6.2617477739999998</v>
      </c>
      <c r="H23" s="2">
        <v>4.5499107080000005</v>
      </c>
      <c r="I23" s="2">
        <v>5.5645897939999998</v>
      </c>
      <c r="J23" s="2">
        <v>7.7601307070000001</v>
      </c>
      <c r="K23" s="2">
        <v>16.870913551999998</v>
      </c>
      <c r="L23" s="2">
        <v>19.209479051999999</v>
      </c>
      <c r="M23" s="2">
        <v>8.1768144420000013</v>
      </c>
      <c r="N23" s="2">
        <v>6.4734212810000002</v>
      </c>
      <c r="O23" s="2">
        <v>15.858719334000002</v>
      </c>
      <c r="P23" s="2">
        <v>15.889358178</v>
      </c>
      <c r="Q23" s="2">
        <v>11.487607710000001</v>
      </c>
      <c r="R23" s="2">
        <v>19.132825026999999</v>
      </c>
      <c r="S23" s="2">
        <v>23.275567396</v>
      </c>
      <c r="T23" s="2">
        <v>13.755427962000002</v>
      </c>
      <c r="U23" s="2">
        <v>13.486568226999999</v>
      </c>
      <c r="V23" s="2">
        <v>12.570335080000001</v>
      </c>
      <c r="W23" s="2">
        <v>14.883360286</v>
      </c>
      <c r="X23" s="2">
        <v>19.238202057000002</v>
      </c>
      <c r="Y23" s="2">
        <v>23.319203078999998</v>
      </c>
      <c r="Z23" s="2">
        <v>2.2527350949999998</v>
      </c>
      <c r="AA23" s="2">
        <v>10.444832313000001</v>
      </c>
      <c r="AB23" s="2">
        <v>21.867391833999999</v>
      </c>
      <c r="AC23" s="2">
        <v>23.582799564000002</v>
      </c>
      <c r="AD23" s="2">
        <v>21.908310406000002</v>
      </c>
      <c r="AE23" s="2">
        <v>10.120796969999999</v>
      </c>
      <c r="AF23" s="2">
        <v>16.078895725999999</v>
      </c>
      <c r="AG23" s="2">
        <v>12.748479409</v>
      </c>
      <c r="AH23" s="2">
        <v>16.026621023000001</v>
      </c>
      <c r="AI23" s="2">
        <v>8.7447765670000006</v>
      </c>
      <c r="AJ23" s="2">
        <v>16.726207819999999</v>
      </c>
      <c r="AK23" s="2">
        <v>15.360737200999999</v>
      </c>
      <c r="AL23" s="2">
        <v>13.247694054</v>
      </c>
      <c r="AM23" s="2">
        <v>15.251298951000001</v>
      </c>
      <c r="AN23" s="2">
        <v>3.1957904749999999</v>
      </c>
      <c r="AO23" s="2">
        <v>40.520004760000006</v>
      </c>
      <c r="AP23" s="2">
        <v>13.081876272000001</v>
      </c>
      <c r="AQ23" s="2">
        <v>54.581401146000005</v>
      </c>
      <c r="AR23" s="2">
        <v>18.394928952999997</v>
      </c>
      <c r="AS23" s="2">
        <v>10.685409698999999</v>
      </c>
      <c r="AT23" s="2">
        <v>20.440275892999999</v>
      </c>
      <c r="AU23" s="2">
        <v>15.193605085</v>
      </c>
      <c r="AV23" s="2">
        <v>10.957038536000001</v>
      </c>
      <c r="AW23" s="2">
        <v>9.5583696600000003</v>
      </c>
      <c r="AX23" s="2">
        <v>6.8493850550000008</v>
      </c>
      <c r="AY23" s="2">
        <v>35.160955484999995</v>
      </c>
      <c r="AZ23" s="2">
        <v>48.962619681999996</v>
      </c>
      <c r="BA23" s="2">
        <v>18.804807182000001</v>
      </c>
      <c r="BB23" s="2">
        <v>9.9416944069999982</v>
      </c>
      <c r="BC23" s="2">
        <v>17.192084171999998</v>
      </c>
      <c r="BD23" s="2">
        <v>12.327955641000001</v>
      </c>
      <c r="BE23" s="2">
        <v>15.783570743</v>
      </c>
      <c r="BF23" s="2">
        <v>7.5734242029999992</v>
      </c>
      <c r="BG23" s="2">
        <v>19.862175826999998</v>
      </c>
      <c r="BH23" s="2">
        <v>14.978695434</v>
      </c>
      <c r="BI23" s="2">
        <v>30.122972392999998</v>
      </c>
      <c r="BJ23" s="2">
        <v>116.05615245899999</v>
      </c>
      <c r="BK23" s="2">
        <v>20.390925065000001</v>
      </c>
      <c r="BL23" s="2">
        <v>48.605318320999999</v>
      </c>
      <c r="BM23" s="2">
        <v>15.019122136999998</v>
      </c>
      <c r="BN23" s="2">
        <v>19.451721445</v>
      </c>
      <c r="BO23" s="2">
        <v>21.60433394</v>
      </c>
      <c r="BP23" s="2">
        <v>7.894185427</v>
      </c>
      <c r="BQ23" s="2">
        <v>49.993445094000002</v>
      </c>
      <c r="BR23" s="2">
        <v>21.451875611999998</v>
      </c>
      <c r="BS23" s="2">
        <v>53.220106699999995</v>
      </c>
      <c r="BT23" s="2">
        <v>18.933585717000003</v>
      </c>
      <c r="BU23" s="2">
        <v>44.304690094999998</v>
      </c>
      <c r="BV23" s="2">
        <v>0.62277996699999993</v>
      </c>
      <c r="BW23" s="2">
        <v>34.204654845999997</v>
      </c>
      <c r="BX23" s="2">
        <v>77.438167820999993</v>
      </c>
      <c r="BY23" s="2">
        <v>34.592827557999996</v>
      </c>
      <c r="BZ23" s="2">
        <v>24.866735264000003</v>
      </c>
      <c r="CA23" s="2">
        <v>58.322987137999995</v>
      </c>
      <c r="CB23" s="2">
        <v>25.499217678000001</v>
      </c>
      <c r="CC23" s="2">
        <v>42.397898346000005</v>
      </c>
      <c r="CD23" s="2">
        <v>65.32767742499999</v>
      </c>
      <c r="CE23" s="2">
        <v>29.453107009</v>
      </c>
      <c r="CF23" s="2">
        <v>70.024974632999999</v>
      </c>
      <c r="CG23" s="2">
        <v>47.808666846000001</v>
      </c>
      <c r="CH23" s="2">
        <v>3.4875478330000003</v>
      </c>
      <c r="CI23" s="2">
        <v>25.587071805000001</v>
      </c>
      <c r="CJ23" s="2">
        <v>84.134699583</v>
      </c>
      <c r="CK23" s="2">
        <v>36.693283670999996</v>
      </c>
      <c r="CL23" s="2">
        <v>79.660669955000003</v>
      </c>
      <c r="CM23" s="2">
        <v>95.917540319000011</v>
      </c>
      <c r="CN23" s="2">
        <v>26.061488227000002</v>
      </c>
      <c r="CO23" s="2">
        <v>48.308602815999997</v>
      </c>
      <c r="CP23" s="2">
        <v>27.694091633999999</v>
      </c>
      <c r="CQ23" s="2">
        <v>100.58696033699999</v>
      </c>
      <c r="CR23" s="2">
        <v>37.009161884000001</v>
      </c>
      <c r="CS23" s="2">
        <v>104.132534519</v>
      </c>
      <c r="CT23" s="2">
        <v>11.660653672</v>
      </c>
      <c r="CU23" s="2">
        <v>12.042038113</v>
      </c>
      <c r="CV23" s="2">
        <v>64.138920995000007</v>
      </c>
      <c r="CW23" s="2">
        <v>75.089692577000008</v>
      </c>
      <c r="CX23" s="2">
        <v>43.400008018999998</v>
      </c>
      <c r="CY23" s="2">
        <v>34.057288136000004</v>
      </c>
      <c r="CZ23" s="2">
        <v>72.825156602999996</v>
      </c>
      <c r="DA23" s="2">
        <v>71.308573311999993</v>
      </c>
      <c r="DB23" s="2">
        <v>69.477920377000004</v>
      </c>
      <c r="DC23" s="2">
        <v>71.203796459000003</v>
      </c>
      <c r="DD23" s="2">
        <v>113.421237469</v>
      </c>
      <c r="DE23" s="2">
        <v>90.479500242000015</v>
      </c>
      <c r="DF23" s="2">
        <v>11.753044292999999</v>
      </c>
      <c r="DG23" s="2">
        <v>32.454010852999993</v>
      </c>
      <c r="DH23" s="2">
        <v>119.912913401</v>
      </c>
      <c r="DI23" s="2">
        <v>57.865611457999997</v>
      </c>
      <c r="DJ23" s="2">
        <v>66.319256893000002</v>
      </c>
      <c r="DK23" s="2">
        <v>57.271884699000005</v>
      </c>
      <c r="DL23" s="2">
        <v>73.584661218999997</v>
      </c>
      <c r="DM23" s="2">
        <v>67.568972615999996</v>
      </c>
      <c r="DN23" s="2">
        <v>100.990009931</v>
      </c>
      <c r="DO23" s="2">
        <v>90.480754136000002</v>
      </c>
      <c r="DP23" s="2">
        <v>83.768583419000009</v>
      </c>
      <c r="DQ23" s="2">
        <v>40.485915712000001</v>
      </c>
      <c r="DR23" s="2">
        <v>22.697498871999997</v>
      </c>
      <c r="DS23" s="2">
        <v>51.083705132000006</v>
      </c>
      <c r="DT23" s="2">
        <v>128.78992062100002</v>
      </c>
      <c r="DU23" s="2">
        <v>78.406418392999996</v>
      </c>
      <c r="DV23" s="2">
        <v>49.132134301000001</v>
      </c>
      <c r="DW23" s="2">
        <v>43.808636014000001</v>
      </c>
      <c r="DX23" s="2">
        <v>116.85790529999998</v>
      </c>
      <c r="DY23" s="2">
        <v>74.831581682999996</v>
      </c>
      <c r="DZ23" s="2">
        <v>46.926654315999997</v>
      </c>
      <c r="EA23" s="2">
        <v>90.040259509999998</v>
      </c>
      <c r="EB23" s="2">
        <v>45.279967032999998</v>
      </c>
      <c r="EC23" s="2">
        <v>91.449044753999999</v>
      </c>
      <c r="ED23" s="2">
        <v>15.033192479</v>
      </c>
      <c r="EE23" s="2">
        <v>107.135740951</v>
      </c>
      <c r="EF23" s="2">
        <v>71.992958162999997</v>
      </c>
      <c r="EG23" s="2">
        <v>39.959781548000002</v>
      </c>
      <c r="EH23" s="2">
        <v>86.094032249999998</v>
      </c>
      <c r="EI23" s="2">
        <v>33.662481792000001</v>
      </c>
      <c r="EJ23" s="2">
        <v>81.182797106999985</v>
      </c>
      <c r="EK23" s="2">
        <v>59.452955418999998</v>
      </c>
      <c r="EL23" s="2">
        <v>94.504540947999999</v>
      </c>
      <c r="EM23" s="2">
        <v>55.090986852</v>
      </c>
      <c r="EN23" s="2">
        <v>54.398406482000006</v>
      </c>
      <c r="EO23" s="2">
        <v>138.819758216</v>
      </c>
      <c r="EP23" s="2">
        <v>31.765201781999995</v>
      </c>
      <c r="EQ23" s="2">
        <v>48.825842010999999</v>
      </c>
      <c r="ER23" s="2">
        <v>87.915436626000016</v>
      </c>
      <c r="ES23" s="2">
        <v>52.165825288000001</v>
      </c>
      <c r="ET23" s="2">
        <v>60.463753820000001</v>
      </c>
      <c r="EU23" s="2">
        <v>66.014234647000009</v>
      </c>
      <c r="EV23" s="2">
        <v>56.934087713999993</v>
      </c>
      <c r="EW23" s="2">
        <v>73.249204246000005</v>
      </c>
      <c r="EX23" s="2">
        <v>53.307322968999998</v>
      </c>
      <c r="EY23" s="2">
        <v>65.183307350000007</v>
      </c>
      <c r="EZ23" s="2">
        <v>90.365363478000006</v>
      </c>
      <c r="FA23" s="2">
        <v>279.90205959899998</v>
      </c>
      <c r="FB23" s="2">
        <v>13.494319379999999</v>
      </c>
      <c r="FC23" s="2">
        <v>52.092394545999994</v>
      </c>
      <c r="FD23" s="2">
        <v>102.73879465099999</v>
      </c>
      <c r="FE23" s="2">
        <v>48.885389379999999</v>
      </c>
      <c r="FF23" s="2">
        <v>64.386862996999994</v>
      </c>
      <c r="FG23" s="2">
        <v>50.440711433000004</v>
      </c>
      <c r="FH23" s="2">
        <v>456.35314725800004</v>
      </c>
      <c r="FI23" s="2">
        <v>55.345629363</v>
      </c>
      <c r="FJ23" s="2">
        <v>59.059406286000005</v>
      </c>
      <c r="FK23" s="2">
        <v>59.482737897</v>
      </c>
      <c r="FL23" s="2">
        <v>68.544144566</v>
      </c>
      <c r="FM23" s="2">
        <v>82.973073048000003</v>
      </c>
      <c r="FN23" s="2">
        <v>40.606764815000005</v>
      </c>
      <c r="FO23" s="2">
        <v>51.697962661999995</v>
      </c>
      <c r="FP23" s="2">
        <v>68.211046581999994</v>
      </c>
      <c r="FQ23" s="2">
        <v>57.430151459000001</v>
      </c>
      <c r="FR23" s="2">
        <v>126.41993605</v>
      </c>
      <c r="FS23" s="2">
        <v>66.329034831999991</v>
      </c>
      <c r="FT23" s="2">
        <v>66.002604036000008</v>
      </c>
      <c r="FU23" s="2">
        <v>62.500304488000005</v>
      </c>
      <c r="FV23" s="2">
        <v>64.031650466000002</v>
      </c>
      <c r="FW23" s="2">
        <v>65.56997447000002</v>
      </c>
      <c r="FX23" s="2">
        <v>62.747802608999997</v>
      </c>
      <c r="FY23" s="2">
        <v>85.522393813999997</v>
      </c>
      <c r="FZ23" s="2">
        <v>47.868066349999999</v>
      </c>
      <c r="GA23" s="2">
        <v>60.104376923999993</v>
      </c>
      <c r="GB23" s="22">
        <v>97.286823102</v>
      </c>
      <c r="GC23" s="22">
        <v>516.03500395600008</v>
      </c>
      <c r="GD23" s="22">
        <v>130.265084129</v>
      </c>
      <c r="GE23" s="22">
        <v>66.669540217999995</v>
      </c>
      <c r="GF23" s="22">
        <v>77.039109077999996</v>
      </c>
      <c r="GG23" s="22">
        <v>73.288075731000006</v>
      </c>
      <c r="GH23" s="22">
        <v>99.423551892999996</v>
      </c>
      <c r="GI23" s="22">
        <v>67.415896836999991</v>
      </c>
      <c r="GJ23" s="22">
        <v>66.569947692</v>
      </c>
      <c r="GK23" s="22">
        <v>169.35909274599999</v>
      </c>
      <c r="GL23" s="23">
        <v>52.031245059</v>
      </c>
      <c r="GM23" s="23">
        <v>76.940579399000001</v>
      </c>
      <c r="GN23" s="23">
        <v>100.16844482600001</v>
      </c>
      <c r="GO23" s="23">
        <v>101.39704252100002</v>
      </c>
      <c r="GP23" s="23">
        <v>83.094521419999992</v>
      </c>
      <c r="GQ23" s="23">
        <v>91.592393697999995</v>
      </c>
      <c r="GR23" s="23">
        <v>96.415688990000007</v>
      </c>
      <c r="GS23" s="23">
        <v>87.492364181999989</v>
      </c>
      <c r="GT23" s="23">
        <v>88.525746821000013</v>
      </c>
      <c r="GU23" s="23">
        <v>100.43581452100001</v>
      </c>
      <c r="GV23" s="23">
        <v>242.15037158600001</v>
      </c>
      <c r="GW23" s="23">
        <v>147.24209699900001</v>
      </c>
      <c r="GX23" s="23">
        <v>58.044035133000008</v>
      </c>
      <c r="GY23" s="23">
        <v>100.410385918</v>
      </c>
      <c r="GZ23" s="23">
        <v>117.557764107</v>
      </c>
      <c r="HA23" s="23">
        <v>78.074444397999997</v>
      </c>
      <c r="HB23" s="23">
        <v>81.076717403000004</v>
      </c>
      <c r="HC23" s="23">
        <v>68.380724942000001</v>
      </c>
      <c r="HD23" s="23">
        <v>79.057577239000011</v>
      </c>
      <c r="HE23" s="23">
        <v>88.219147158000013</v>
      </c>
      <c r="HF23" s="23"/>
      <c r="HG23" s="23"/>
      <c r="HH23" s="23"/>
      <c r="HI23" s="23"/>
    </row>
    <row r="24" spans="1:217">
      <c r="A24" s="29" t="s">
        <v>60</v>
      </c>
      <c r="B24" s="2">
        <v>0</v>
      </c>
      <c r="C24" s="2">
        <v>0</v>
      </c>
      <c r="D24" s="2">
        <v>0</v>
      </c>
      <c r="E24" s="2">
        <v>0</v>
      </c>
      <c r="F24" s="2">
        <v>2.7269999999999999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2.9790000000000001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4.5</v>
      </c>
      <c r="X24" s="2">
        <v>5.6152144719999999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2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2">
        <v>0</v>
      </c>
      <c r="GC24" s="22">
        <v>0</v>
      </c>
      <c r="GD24" s="22">
        <v>0</v>
      </c>
      <c r="GE24" s="22">
        <v>0</v>
      </c>
      <c r="GF24" s="22">
        <v>0</v>
      </c>
      <c r="GG24" s="22">
        <v>0</v>
      </c>
      <c r="GH24" s="22">
        <v>0</v>
      </c>
      <c r="GI24" s="22">
        <v>0</v>
      </c>
      <c r="GJ24" s="22">
        <v>0</v>
      </c>
      <c r="GK24" s="22">
        <v>0</v>
      </c>
      <c r="GL24" s="23">
        <v>0</v>
      </c>
      <c r="GM24" s="23">
        <v>0</v>
      </c>
      <c r="GN24" s="23">
        <v>0</v>
      </c>
      <c r="GO24" s="23">
        <v>0</v>
      </c>
      <c r="GP24" s="23">
        <v>0</v>
      </c>
      <c r="GQ24" s="23">
        <v>0</v>
      </c>
      <c r="GR24" s="23">
        <v>0</v>
      </c>
      <c r="GS24" s="23">
        <v>0</v>
      </c>
      <c r="GT24" s="23">
        <v>0</v>
      </c>
      <c r="GU24" s="23">
        <v>0</v>
      </c>
      <c r="GV24" s="23">
        <v>0</v>
      </c>
      <c r="GW24" s="23">
        <v>0</v>
      </c>
      <c r="GX24" s="23">
        <v>0</v>
      </c>
      <c r="GY24" s="23">
        <v>0</v>
      </c>
      <c r="GZ24" s="23">
        <v>0</v>
      </c>
      <c r="HA24" s="23">
        <v>0</v>
      </c>
      <c r="HB24" s="23">
        <v>0</v>
      </c>
      <c r="HC24" s="23">
        <v>0</v>
      </c>
      <c r="HD24" s="23">
        <v>0</v>
      </c>
      <c r="HE24" s="23">
        <v>0</v>
      </c>
      <c r="HF24" s="23"/>
      <c r="HG24" s="23"/>
      <c r="HH24" s="23"/>
      <c r="HI24" s="23"/>
    </row>
    <row r="25" spans="1:217" s="32" customFormat="1" ht="14.25">
      <c r="A25" s="26" t="s">
        <v>63</v>
      </c>
      <c r="B25" s="27">
        <v>113.630504328</v>
      </c>
      <c r="C25" s="27">
        <v>131.98771506100002</v>
      </c>
      <c r="D25" s="27">
        <v>134.808571849</v>
      </c>
      <c r="E25" s="27">
        <v>139.13881473800001</v>
      </c>
      <c r="F25" s="27">
        <v>118.052011599</v>
      </c>
      <c r="G25" s="27">
        <v>122.69466571199999</v>
      </c>
      <c r="H25" s="27">
        <v>118.139360371</v>
      </c>
      <c r="I25" s="27">
        <v>189.401053692</v>
      </c>
      <c r="J25" s="27">
        <v>129.62587404100003</v>
      </c>
      <c r="K25" s="27">
        <v>120.307125277</v>
      </c>
      <c r="L25" s="27">
        <v>152.39237801899998</v>
      </c>
      <c r="M25" s="27">
        <v>386.24691998399999</v>
      </c>
      <c r="N25" s="27">
        <v>52.085820081000008</v>
      </c>
      <c r="O25" s="27">
        <v>180.97125496700005</v>
      </c>
      <c r="P25" s="27">
        <v>141.54436675700001</v>
      </c>
      <c r="Q25" s="27">
        <v>145.662793169</v>
      </c>
      <c r="R25" s="27">
        <v>216.72008354100001</v>
      </c>
      <c r="S25" s="27">
        <v>130.88153646900003</v>
      </c>
      <c r="T25" s="27">
        <v>241.27570653000001</v>
      </c>
      <c r="U25" s="27">
        <v>195.03718928699996</v>
      </c>
      <c r="V25" s="27">
        <v>189.95984375400002</v>
      </c>
      <c r="W25" s="27">
        <v>179.39263425799999</v>
      </c>
      <c r="X25" s="27">
        <v>162.766750739</v>
      </c>
      <c r="Y25" s="27">
        <v>210.548257777</v>
      </c>
      <c r="Z25" s="27">
        <v>157.24128826399999</v>
      </c>
      <c r="AA25" s="27">
        <v>184.00219447500001</v>
      </c>
      <c r="AB25" s="27">
        <v>267.81663172899999</v>
      </c>
      <c r="AC25" s="27">
        <v>152.86230895699998</v>
      </c>
      <c r="AD25" s="27">
        <v>113.72456269599999</v>
      </c>
      <c r="AE25" s="27">
        <v>224.40414269600001</v>
      </c>
      <c r="AF25" s="27">
        <v>165.40550001000003</v>
      </c>
      <c r="AG25" s="27">
        <v>179.36220695999998</v>
      </c>
      <c r="AH25" s="27">
        <v>170.259978037</v>
      </c>
      <c r="AI25" s="27">
        <v>173.455669417</v>
      </c>
      <c r="AJ25" s="27">
        <v>175.97657065299998</v>
      </c>
      <c r="AK25" s="27">
        <v>219.19505763099997</v>
      </c>
      <c r="AL25" s="27">
        <v>293.74087317499999</v>
      </c>
      <c r="AM25" s="27">
        <v>168.54513406000001</v>
      </c>
      <c r="AN25" s="27">
        <v>198.97524850899998</v>
      </c>
      <c r="AO25" s="27">
        <v>167.23673725499998</v>
      </c>
      <c r="AP25" s="27">
        <v>228.53192052499998</v>
      </c>
      <c r="AQ25" s="27">
        <v>170.71681405199999</v>
      </c>
      <c r="AR25" s="27">
        <v>174.36665583300001</v>
      </c>
      <c r="AS25" s="27">
        <v>175.38192276699999</v>
      </c>
      <c r="AT25" s="27">
        <v>304.05168931500003</v>
      </c>
      <c r="AU25" s="27">
        <v>204.20259481399998</v>
      </c>
      <c r="AV25" s="27">
        <v>165.52956097800001</v>
      </c>
      <c r="AW25" s="27">
        <v>173.834553078</v>
      </c>
      <c r="AX25" s="27">
        <v>168.89963798799999</v>
      </c>
      <c r="AY25" s="27">
        <v>162.24444092299998</v>
      </c>
      <c r="AZ25" s="27">
        <v>299.03985374600001</v>
      </c>
      <c r="BA25" s="27">
        <v>158.109942082</v>
      </c>
      <c r="BB25" s="27">
        <v>320.04704457400004</v>
      </c>
      <c r="BC25" s="27">
        <v>168.73679645699997</v>
      </c>
      <c r="BD25" s="27">
        <v>191.274087958</v>
      </c>
      <c r="BE25" s="27">
        <v>228.49980936400001</v>
      </c>
      <c r="BF25" s="27">
        <v>195.252746747</v>
      </c>
      <c r="BG25" s="27">
        <v>313.97378919300002</v>
      </c>
      <c r="BH25" s="27">
        <v>201.18896906400002</v>
      </c>
      <c r="BI25" s="27">
        <v>180.41489984400002</v>
      </c>
      <c r="BJ25" s="27">
        <v>164.82443842599997</v>
      </c>
      <c r="BK25" s="27">
        <v>245.27846418200002</v>
      </c>
      <c r="BL25" s="27">
        <v>209.56788986500001</v>
      </c>
      <c r="BM25" s="27">
        <v>186.904454216</v>
      </c>
      <c r="BN25" s="27">
        <v>169.95492316100001</v>
      </c>
      <c r="BO25" s="27">
        <v>182.33052323200002</v>
      </c>
      <c r="BP25" s="27">
        <v>110.211405313</v>
      </c>
      <c r="BQ25" s="27">
        <v>209.93704395999998</v>
      </c>
      <c r="BR25" s="27">
        <v>151.67448321400002</v>
      </c>
      <c r="BS25" s="27">
        <v>174.76723291599998</v>
      </c>
      <c r="BT25" s="27">
        <v>357.54797519200002</v>
      </c>
      <c r="BU25" s="27">
        <v>283.96314831000007</v>
      </c>
      <c r="BV25" s="27">
        <v>329.36675647699997</v>
      </c>
      <c r="BW25" s="27">
        <v>209.27352188999998</v>
      </c>
      <c r="BX25" s="27">
        <v>196.26218577799997</v>
      </c>
      <c r="BY25" s="27">
        <v>277.64095457299999</v>
      </c>
      <c r="BZ25" s="27">
        <v>207.93082158599998</v>
      </c>
      <c r="CA25" s="27">
        <v>193.11205441900003</v>
      </c>
      <c r="CB25" s="27">
        <v>272.95113968499999</v>
      </c>
      <c r="CC25" s="27">
        <v>201.86269754300002</v>
      </c>
      <c r="CD25" s="27">
        <v>193.90484871100003</v>
      </c>
      <c r="CE25" s="27">
        <v>235.06068126299999</v>
      </c>
      <c r="CF25" s="27">
        <v>274.31377087300001</v>
      </c>
      <c r="CG25" s="27">
        <v>300.513055313</v>
      </c>
      <c r="CH25" s="27">
        <v>258.79575985099996</v>
      </c>
      <c r="CI25" s="27">
        <v>253.65632142899997</v>
      </c>
      <c r="CJ25" s="27">
        <v>173.887277485</v>
      </c>
      <c r="CK25" s="27">
        <v>156.89708526700002</v>
      </c>
      <c r="CL25" s="27">
        <v>256.05154222100003</v>
      </c>
      <c r="CM25" s="27">
        <v>198.397496526</v>
      </c>
      <c r="CN25" s="27">
        <v>181.75282952800001</v>
      </c>
      <c r="CO25" s="27">
        <v>174.138878546</v>
      </c>
      <c r="CP25" s="27">
        <v>194.34818791699999</v>
      </c>
      <c r="CQ25" s="27">
        <v>196.51867869599999</v>
      </c>
      <c r="CR25" s="27">
        <v>325.24953545700004</v>
      </c>
      <c r="CS25" s="27">
        <v>319.14713005300007</v>
      </c>
      <c r="CT25" s="27">
        <v>273.14846272099999</v>
      </c>
      <c r="CU25" s="27">
        <v>513.63882895699999</v>
      </c>
      <c r="CV25" s="27">
        <v>178.94347474</v>
      </c>
      <c r="CW25" s="27">
        <v>170.14392551299997</v>
      </c>
      <c r="CX25" s="27">
        <v>249.97222818299997</v>
      </c>
      <c r="CY25" s="27">
        <v>174.373205996</v>
      </c>
      <c r="CZ25" s="27">
        <v>186.60234787699997</v>
      </c>
      <c r="DA25" s="27">
        <v>216.99606398999993</v>
      </c>
      <c r="DB25" s="27">
        <v>184.46789860600001</v>
      </c>
      <c r="DC25" s="27">
        <v>446.12906698800003</v>
      </c>
      <c r="DD25" s="27">
        <v>218.78273874799999</v>
      </c>
      <c r="DE25" s="27">
        <v>240.71619155299999</v>
      </c>
      <c r="DF25" s="27">
        <v>478.81329197999992</v>
      </c>
      <c r="DG25" s="27">
        <v>269.22506566300007</v>
      </c>
      <c r="DH25" s="27">
        <v>345.737565442</v>
      </c>
      <c r="DI25" s="27">
        <v>261.01978978400001</v>
      </c>
      <c r="DJ25" s="27">
        <v>296.86359595200008</v>
      </c>
      <c r="DK25" s="27">
        <v>314.94293884499996</v>
      </c>
      <c r="DL25" s="27">
        <v>296.18329521500004</v>
      </c>
      <c r="DM25" s="27">
        <v>280.493114306</v>
      </c>
      <c r="DN25" s="27">
        <v>339.29707723399997</v>
      </c>
      <c r="DO25" s="27">
        <v>308.35428809699999</v>
      </c>
      <c r="DP25" s="27">
        <v>293.03221290099998</v>
      </c>
      <c r="DQ25" s="27">
        <v>364.97008287599988</v>
      </c>
      <c r="DR25" s="27">
        <v>432.35879525799999</v>
      </c>
      <c r="DS25" s="27">
        <v>329.04294591199999</v>
      </c>
      <c r="DT25" s="27">
        <v>336.92671297800001</v>
      </c>
      <c r="DU25" s="27">
        <v>364.03135634900008</v>
      </c>
      <c r="DV25" s="27">
        <v>310.61885941900005</v>
      </c>
      <c r="DW25" s="27">
        <v>310.49204088300002</v>
      </c>
      <c r="DX25" s="27">
        <v>327.46212506399996</v>
      </c>
      <c r="DY25" s="27">
        <v>317.43700291500005</v>
      </c>
      <c r="DZ25" s="27">
        <v>313.75831015900002</v>
      </c>
      <c r="EA25" s="27">
        <v>302.226580883</v>
      </c>
      <c r="EB25" s="27">
        <v>304.11331756800001</v>
      </c>
      <c r="EC25" s="27">
        <v>346.13032409099998</v>
      </c>
      <c r="ED25" s="27">
        <v>345.03709166300001</v>
      </c>
      <c r="EE25" s="27">
        <v>181.10179829099997</v>
      </c>
      <c r="EF25" s="27">
        <v>245.49737773400003</v>
      </c>
      <c r="EG25" s="27">
        <v>289.15946208399998</v>
      </c>
      <c r="EH25" s="27">
        <v>650.11880519700003</v>
      </c>
      <c r="EI25" s="27">
        <v>239.57232465199996</v>
      </c>
      <c r="EJ25" s="27">
        <v>345.38801037999997</v>
      </c>
      <c r="EK25" s="27">
        <v>237.19826306000004</v>
      </c>
      <c r="EL25" s="27">
        <v>446.73105954700009</v>
      </c>
      <c r="EM25" s="27">
        <v>247.967557621</v>
      </c>
      <c r="EN25" s="27">
        <v>222.89625476099999</v>
      </c>
      <c r="EO25" s="27">
        <v>367.59392071600001</v>
      </c>
      <c r="EP25" s="27">
        <v>324.15694431599997</v>
      </c>
      <c r="EQ25" s="27">
        <v>407.45420877200002</v>
      </c>
      <c r="ER25" s="27">
        <v>268.19275110200005</v>
      </c>
      <c r="ES25" s="27">
        <v>288.366027884</v>
      </c>
      <c r="ET25" s="27">
        <v>720.326480339</v>
      </c>
      <c r="EU25" s="27">
        <v>560.685767328</v>
      </c>
      <c r="EV25" s="27">
        <v>279.21450620700006</v>
      </c>
      <c r="EW25" s="27">
        <v>457.11884443900004</v>
      </c>
      <c r="EX25" s="27">
        <v>308.91190674000001</v>
      </c>
      <c r="EY25" s="27">
        <v>348.36850445399995</v>
      </c>
      <c r="EZ25" s="27">
        <v>480.92015148600007</v>
      </c>
      <c r="FA25" s="27">
        <v>727.94322301899979</v>
      </c>
      <c r="FB25" s="27">
        <v>442.91661808499993</v>
      </c>
      <c r="FC25" s="27">
        <v>559.11778084399998</v>
      </c>
      <c r="FD25" s="27">
        <v>304.48585934900001</v>
      </c>
      <c r="FE25" s="27">
        <v>277.24596907999995</v>
      </c>
      <c r="FF25" s="27">
        <v>395.21711391299993</v>
      </c>
      <c r="FG25" s="27">
        <v>390.87020019400001</v>
      </c>
      <c r="FH25" s="27">
        <v>-10.19961205200002</v>
      </c>
      <c r="FI25" s="27">
        <v>896.028685892</v>
      </c>
      <c r="FJ25" s="27">
        <v>538.64958829500006</v>
      </c>
      <c r="FK25" s="27">
        <v>512.83278328900008</v>
      </c>
      <c r="FL25" s="27">
        <v>585.25816638799995</v>
      </c>
      <c r="FM25" s="27">
        <v>746.47687185100006</v>
      </c>
      <c r="FN25" s="27">
        <v>418.96138073900005</v>
      </c>
      <c r="FO25" s="27">
        <v>386.87058325600003</v>
      </c>
      <c r="FP25" s="27">
        <v>605.14545195400001</v>
      </c>
      <c r="FQ25" s="27">
        <v>289.91070412800002</v>
      </c>
      <c r="FR25" s="27">
        <v>377.71552659900004</v>
      </c>
      <c r="FS25" s="27">
        <v>442.29352348700002</v>
      </c>
      <c r="FT25" s="27">
        <v>454.48987803999995</v>
      </c>
      <c r="FU25" s="27">
        <v>540.77147939299994</v>
      </c>
      <c r="FV25" s="27">
        <v>454.09506691899998</v>
      </c>
      <c r="FW25" s="27">
        <v>405.30382127000007</v>
      </c>
      <c r="FX25" s="27">
        <v>427.88925109199999</v>
      </c>
      <c r="FY25" s="27">
        <v>1004.9312945460001</v>
      </c>
      <c r="FZ25" s="27">
        <v>358.47579479299998</v>
      </c>
      <c r="GA25" s="27">
        <v>414.446051533</v>
      </c>
      <c r="GB25" s="22">
        <v>406.52045029200002</v>
      </c>
      <c r="GC25" s="22">
        <v>460.50405505899994</v>
      </c>
      <c r="GD25" s="22">
        <v>476.49511782499997</v>
      </c>
      <c r="GE25" s="22">
        <v>528.36471996</v>
      </c>
      <c r="GF25" s="22">
        <v>459.70692191400002</v>
      </c>
      <c r="GG25" s="22">
        <v>441.16698253999999</v>
      </c>
      <c r="GH25" s="22">
        <v>380.22220279899994</v>
      </c>
      <c r="GI25" s="22">
        <v>465.89537272599995</v>
      </c>
      <c r="GJ25" s="22">
        <v>533.45595250100007</v>
      </c>
      <c r="GK25" s="22">
        <v>610.59890744699999</v>
      </c>
      <c r="GL25" s="23">
        <v>742.73578027299993</v>
      </c>
      <c r="GM25" s="23">
        <v>671.00070135700003</v>
      </c>
      <c r="GN25" s="23">
        <v>426.40174358799999</v>
      </c>
      <c r="GO25" s="23">
        <v>683.94375792500011</v>
      </c>
      <c r="GP25" s="23">
        <v>460.25732185499999</v>
      </c>
      <c r="GQ25" s="23">
        <v>461.20769405999999</v>
      </c>
      <c r="GR25" s="23">
        <v>499.74467089300003</v>
      </c>
      <c r="GS25" s="23">
        <v>413.77887673800001</v>
      </c>
      <c r="GT25" s="23">
        <v>413.65754296900008</v>
      </c>
      <c r="GU25" s="23">
        <v>486.25675127999995</v>
      </c>
      <c r="GV25" s="23">
        <v>441.23859421300006</v>
      </c>
      <c r="GW25" s="23">
        <v>704.45112254599997</v>
      </c>
      <c r="GX25" s="23">
        <v>316.41098610999995</v>
      </c>
      <c r="GY25" s="23">
        <v>488.90175869000001</v>
      </c>
      <c r="GZ25" s="23">
        <v>835.38307447199998</v>
      </c>
      <c r="HA25" s="23">
        <v>350.60397989000001</v>
      </c>
      <c r="HB25" s="23">
        <v>349.57777744100002</v>
      </c>
      <c r="HC25" s="23">
        <v>402.65507005199999</v>
      </c>
      <c r="HD25" s="23">
        <v>443.86346516499998</v>
      </c>
      <c r="HE25" s="23">
        <v>705.63106177300006</v>
      </c>
      <c r="HF25" s="23"/>
      <c r="HG25" s="23"/>
      <c r="HH25" s="23"/>
      <c r="HI25" s="23"/>
    </row>
    <row r="26" spans="1:217">
      <c r="A26" s="29" t="s">
        <v>64</v>
      </c>
      <c r="B26" s="2">
        <v>103.509872464</v>
      </c>
      <c r="C26" s="2">
        <v>102.311026846</v>
      </c>
      <c r="D26" s="2">
        <v>111.069197923</v>
      </c>
      <c r="E26" s="2">
        <v>103.77506139700002</v>
      </c>
      <c r="F26" s="2">
        <v>98.083978583999993</v>
      </c>
      <c r="G26" s="2">
        <v>97.370391831999996</v>
      </c>
      <c r="H26" s="2">
        <v>92.792562555999993</v>
      </c>
      <c r="I26" s="2">
        <v>165.67483623699999</v>
      </c>
      <c r="J26" s="2">
        <v>97.216725214000007</v>
      </c>
      <c r="K26" s="2">
        <v>91.853893628000009</v>
      </c>
      <c r="L26" s="2">
        <v>97.574689965000005</v>
      </c>
      <c r="M26" s="2">
        <v>333.14788864100001</v>
      </c>
      <c r="N26" s="2">
        <v>36.987471860000007</v>
      </c>
      <c r="O26" s="2">
        <v>157.75455939800003</v>
      </c>
      <c r="P26" s="2">
        <v>112.851552184</v>
      </c>
      <c r="Q26" s="2">
        <v>93.405461857000006</v>
      </c>
      <c r="R26" s="2">
        <v>160.65645019199999</v>
      </c>
      <c r="S26" s="2">
        <v>99.826300925000027</v>
      </c>
      <c r="T26" s="2">
        <v>147.378987677</v>
      </c>
      <c r="U26" s="2">
        <v>133.60950618699999</v>
      </c>
      <c r="V26" s="2">
        <v>129.509312924</v>
      </c>
      <c r="W26" s="2">
        <v>124.117357985</v>
      </c>
      <c r="X26" s="2">
        <v>124.48862154199999</v>
      </c>
      <c r="Y26" s="2">
        <v>144.99837984200002</v>
      </c>
      <c r="Z26" s="2">
        <v>132.61935534</v>
      </c>
      <c r="AA26" s="2">
        <v>143.11409908900001</v>
      </c>
      <c r="AB26" s="2">
        <v>226.193372047</v>
      </c>
      <c r="AC26" s="2">
        <v>114.347354041</v>
      </c>
      <c r="AD26" s="2">
        <v>76.373453226999985</v>
      </c>
      <c r="AE26" s="2">
        <v>177.77280826000001</v>
      </c>
      <c r="AF26" s="2">
        <v>130.39323271500001</v>
      </c>
      <c r="AG26" s="2">
        <v>127.273402511</v>
      </c>
      <c r="AH26" s="2">
        <v>133.011837972</v>
      </c>
      <c r="AI26" s="2">
        <v>130.24539210899999</v>
      </c>
      <c r="AJ26" s="2">
        <v>124.21805501599999</v>
      </c>
      <c r="AK26" s="2">
        <v>146.98241132199996</v>
      </c>
      <c r="AL26" s="2">
        <v>127.20284897800001</v>
      </c>
      <c r="AM26" s="2">
        <v>138.428470017</v>
      </c>
      <c r="AN26" s="2">
        <v>152.60563170099999</v>
      </c>
      <c r="AO26" s="2">
        <v>133.30583867499999</v>
      </c>
      <c r="AP26" s="2">
        <v>186.981588386</v>
      </c>
      <c r="AQ26" s="2">
        <v>133.52607877299999</v>
      </c>
      <c r="AR26" s="2">
        <v>133.447426949</v>
      </c>
      <c r="AS26" s="2">
        <v>135.12941237799998</v>
      </c>
      <c r="AT26" s="2">
        <v>101.137346545</v>
      </c>
      <c r="AU26" s="2">
        <v>166.027257228</v>
      </c>
      <c r="AV26" s="2">
        <v>134.434776599</v>
      </c>
      <c r="AW26" s="2">
        <v>125.46427868399999</v>
      </c>
      <c r="AX26" s="2">
        <v>125.630472833</v>
      </c>
      <c r="AY26" s="2">
        <v>129.30132609399999</v>
      </c>
      <c r="AZ26" s="2">
        <v>141.66639696399997</v>
      </c>
      <c r="BA26" s="2">
        <v>124.70670289700001</v>
      </c>
      <c r="BB26" s="2">
        <v>138.91580661200001</v>
      </c>
      <c r="BC26" s="2">
        <v>136.10656183699999</v>
      </c>
      <c r="BD26" s="2">
        <v>138.561543411</v>
      </c>
      <c r="BE26" s="2">
        <v>143.38268078600001</v>
      </c>
      <c r="BF26" s="2">
        <v>135.32658544700001</v>
      </c>
      <c r="BG26" s="2">
        <v>127.74598087700001</v>
      </c>
      <c r="BH26" s="2">
        <v>132.69350211300002</v>
      </c>
      <c r="BI26" s="2">
        <v>131.36097426500001</v>
      </c>
      <c r="BJ26" s="2">
        <v>124.29279534599998</v>
      </c>
      <c r="BK26" s="2">
        <v>155.40048926700001</v>
      </c>
      <c r="BL26" s="2">
        <v>125.43068324800001</v>
      </c>
      <c r="BM26" s="2">
        <v>109.10566680800001</v>
      </c>
      <c r="BN26" s="2">
        <v>115.01089782000001</v>
      </c>
      <c r="BO26" s="2">
        <v>109.644924328</v>
      </c>
      <c r="BP26" s="2">
        <v>63.603026559999996</v>
      </c>
      <c r="BQ26" s="2">
        <v>161.53468262899997</v>
      </c>
      <c r="BR26" s="2">
        <v>110.84731504000001</v>
      </c>
      <c r="BS26" s="2">
        <v>130.416506513</v>
      </c>
      <c r="BT26" s="2">
        <v>128.89873426099999</v>
      </c>
      <c r="BU26" s="2">
        <v>136.74718066899999</v>
      </c>
      <c r="BV26" s="2">
        <v>131.29135763100001</v>
      </c>
      <c r="BW26" s="2">
        <v>134.113810629</v>
      </c>
      <c r="BX26" s="2">
        <v>146.60744326399998</v>
      </c>
      <c r="BY26" s="2">
        <v>147.96846271500002</v>
      </c>
      <c r="BZ26" s="2">
        <v>158.65832806799997</v>
      </c>
      <c r="CA26" s="2">
        <v>151.33149212900003</v>
      </c>
      <c r="CB26" s="2">
        <v>143.66792988999998</v>
      </c>
      <c r="CC26" s="2">
        <v>144.82165932500001</v>
      </c>
      <c r="CD26" s="2">
        <v>152.43160375300005</v>
      </c>
      <c r="CE26" s="2">
        <v>154.688245188</v>
      </c>
      <c r="CF26" s="2">
        <v>140.976352988</v>
      </c>
      <c r="CG26" s="2">
        <v>133.562309062</v>
      </c>
      <c r="CH26" s="2">
        <v>223.42748803199999</v>
      </c>
      <c r="CI26" s="2">
        <v>213.20130730599999</v>
      </c>
      <c r="CJ26" s="2">
        <v>115.23003021599999</v>
      </c>
      <c r="CK26" s="2">
        <v>110.58039993100002</v>
      </c>
      <c r="CL26" s="2">
        <v>212.11671521200003</v>
      </c>
      <c r="CM26" s="2">
        <v>136.78779092099998</v>
      </c>
      <c r="CN26" s="2">
        <v>129.28493134200002</v>
      </c>
      <c r="CO26" s="2">
        <v>130.75711082999999</v>
      </c>
      <c r="CP26" s="2">
        <v>135.012325159</v>
      </c>
      <c r="CQ26" s="2">
        <v>134.39796266599998</v>
      </c>
      <c r="CR26" s="2">
        <v>268.785566399</v>
      </c>
      <c r="CS26" s="2">
        <v>236.97296763600002</v>
      </c>
      <c r="CT26" s="2">
        <v>244.53447503099997</v>
      </c>
      <c r="CU26" s="2">
        <v>476.07563918799997</v>
      </c>
      <c r="CV26" s="2">
        <v>124.223401509</v>
      </c>
      <c r="CW26" s="2">
        <v>119.64732043899998</v>
      </c>
      <c r="CX26" s="2">
        <v>179.61772145699999</v>
      </c>
      <c r="CY26" s="2">
        <v>106.251226743</v>
      </c>
      <c r="CZ26" s="2">
        <v>147.32441159699997</v>
      </c>
      <c r="DA26" s="2">
        <v>148.13102265799995</v>
      </c>
      <c r="DB26" s="2">
        <v>116.327608678</v>
      </c>
      <c r="DC26" s="2">
        <v>386.26528645300004</v>
      </c>
      <c r="DD26" s="2">
        <v>154.04329589299999</v>
      </c>
      <c r="DE26" s="2">
        <v>165.24921072199999</v>
      </c>
      <c r="DF26" s="2">
        <v>417.55242411599994</v>
      </c>
      <c r="DG26" s="2">
        <v>212.29722753500005</v>
      </c>
      <c r="DH26" s="2">
        <v>279.82923887700002</v>
      </c>
      <c r="DI26" s="2">
        <v>201.640455618</v>
      </c>
      <c r="DJ26" s="2">
        <v>231.82805769500004</v>
      </c>
      <c r="DK26" s="2">
        <v>262.56423475899999</v>
      </c>
      <c r="DL26" s="2">
        <v>243.67069292600002</v>
      </c>
      <c r="DM26" s="2">
        <v>225.952524047</v>
      </c>
      <c r="DN26" s="2">
        <v>227.23814140399998</v>
      </c>
      <c r="DO26" s="2">
        <v>213.53322403599998</v>
      </c>
      <c r="DP26" s="2">
        <v>223.62468890900001</v>
      </c>
      <c r="DQ26" s="2">
        <v>-182.57943684200004</v>
      </c>
      <c r="DR26" s="2">
        <v>269.28455922500001</v>
      </c>
      <c r="DS26" s="2">
        <v>239.481616836</v>
      </c>
      <c r="DT26" s="2">
        <v>160.22981779100002</v>
      </c>
      <c r="DU26" s="2">
        <v>148.81274115000002</v>
      </c>
      <c r="DV26" s="2">
        <v>188.58204103300002</v>
      </c>
      <c r="DW26" s="2">
        <v>191.71882998700002</v>
      </c>
      <c r="DX26" s="2">
        <v>213.06911094899999</v>
      </c>
      <c r="DY26" s="2">
        <v>194.774156514</v>
      </c>
      <c r="DZ26" s="2">
        <v>145.29750382099999</v>
      </c>
      <c r="EA26" s="2">
        <v>196.51909205300001</v>
      </c>
      <c r="EB26" s="2">
        <v>141.39346955700003</v>
      </c>
      <c r="EC26" s="2">
        <v>187.32502211699997</v>
      </c>
      <c r="ED26" s="2">
        <v>172.970337038</v>
      </c>
      <c r="EE26" s="2">
        <v>136.29498492599998</v>
      </c>
      <c r="EF26" s="2">
        <v>103.44824588</v>
      </c>
      <c r="EG26" s="2">
        <v>154.23141504899999</v>
      </c>
      <c r="EH26" s="2">
        <v>126.895710948</v>
      </c>
      <c r="EI26" s="2">
        <v>387.85252273399999</v>
      </c>
      <c r="EJ26" s="2">
        <v>150.077256764</v>
      </c>
      <c r="EK26" s="2">
        <v>174.16210158400003</v>
      </c>
      <c r="EL26" s="2">
        <v>119.60518304899999</v>
      </c>
      <c r="EM26" s="2">
        <v>284.07028914199998</v>
      </c>
      <c r="EN26" s="2">
        <v>91.037587370999987</v>
      </c>
      <c r="EO26" s="2">
        <v>228.02065392400002</v>
      </c>
      <c r="EP26" s="2">
        <v>67.963027139999994</v>
      </c>
      <c r="EQ26" s="2">
        <v>253.834045567</v>
      </c>
      <c r="ER26" s="2">
        <v>235.55579410299998</v>
      </c>
      <c r="ES26" s="2">
        <v>136.91918526999999</v>
      </c>
      <c r="ET26" s="2">
        <v>145.889976023</v>
      </c>
      <c r="EU26" s="2">
        <v>444.80027018799996</v>
      </c>
      <c r="EV26" s="2">
        <v>362.69703889200002</v>
      </c>
      <c r="EW26" s="2">
        <v>117.582479533</v>
      </c>
      <c r="EX26" s="2">
        <v>116.059602701</v>
      </c>
      <c r="EY26" s="2">
        <v>155.21409640300001</v>
      </c>
      <c r="EZ26" s="2">
        <v>133.17594105000001</v>
      </c>
      <c r="FA26" s="2">
        <v>340.69610669199994</v>
      </c>
      <c r="FB26" s="2">
        <v>129.98835607199999</v>
      </c>
      <c r="FC26" s="2">
        <v>363.58207566900001</v>
      </c>
      <c r="FD26" s="2">
        <v>161.905790798</v>
      </c>
      <c r="FE26" s="2">
        <v>169.17616313699997</v>
      </c>
      <c r="FF26" s="2">
        <v>228.46259368499997</v>
      </c>
      <c r="FG26" s="2">
        <v>165.93574208100003</v>
      </c>
      <c r="FH26" s="2">
        <v>200.55097390999998</v>
      </c>
      <c r="FI26" s="2">
        <v>184.93490219599997</v>
      </c>
      <c r="FJ26" s="2">
        <v>605.73881966400006</v>
      </c>
      <c r="FK26" s="2">
        <v>384.35341726100006</v>
      </c>
      <c r="FL26" s="2">
        <v>332.84763263199994</v>
      </c>
      <c r="FM26" s="2">
        <v>386.63339010700003</v>
      </c>
      <c r="FN26" s="2">
        <v>166.510639505</v>
      </c>
      <c r="FO26" s="2">
        <v>132.92309377300001</v>
      </c>
      <c r="FP26" s="2">
        <v>159.88406928500001</v>
      </c>
      <c r="FQ26" s="2">
        <v>243.39352095199999</v>
      </c>
      <c r="FR26" s="2">
        <v>308.34788832600003</v>
      </c>
      <c r="FS26" s="2">
        <v>235.76337535500002</v>
      </c>
      <c r="FT26" s="2">
        <v>231.289290204</v>
      </c>
      <c r="FU26" s="2">
        <v>212.42282495500001</v>
      </c>
      <c r="FV26" s="2">
        <v>216.90737862399999</v>
      </c>
      <c r="FW26" s="2">
        <v>187.75496795700005</v>
      </c>
      <c r="FX26" s="2">
        <v>142.44942563499998</v>
      </c>
      <c r="FY26" s="2">
        <v>520.89187569900014</v>
      </c>
      <c r="FZ26" s="2">
        <v>40.206919087999999</v>
      </c>
      <c r="GA26" s="2">
        <v>179.12443132700002</v>
      </c>
      <c r="GB26" s="22">
        <v>157.98233068800002</v>
      </c>
      <c r="GC26" s="22">
        <v>166.10985178300001</v>
      </c>
      <c r="GD26" s="22">
        <v>182.43766675199998</v>
      </c>
      <c r="GE26" s="22">
        <v>198.14203489300002</v>
      </c>
      <c r="GF26" s="22">
        <v>188.909547178</v>
      </c>
      <c r="GG26" s="22">
        <v>157.21878781200002</v>
      </c>
      <c r="GH26" s="22">
        <v>141.01429475099999</v>
      </c>
      <c r="GI26" s="22">
        <v>163.775277069</v>
      </c>
      <c r="GJ26" s="22">
        <v>205.176700872</v>
      </c>
      <c r="GK26" s="22">
        <v>181.09489931499999</v>
      </c>
      <c r="GL26" s="23">
        <v>328.01585951200002</v>
      </c>
      <c r="GM26" s="23">
        <v>298.17094220500002</v>
      </c>
      <c r="GN26" s="23">
        <v>155.06702680400002</v>
      </c>
      <c r="GO26" s="23">
        <v>273.77188572</v>
      </c>
      <c r="GP26" s="23">
        <v>158.03557160999998</v>
      </c>
      <c r="GQ26" s="23">
        <v>161.389049626</v>
      </c>
      <c r="GR26" s="23">
        <v>202.52721886500001</v>
      </c>
      <c r="GS26" s="23">
        <v>149.23874499999999</v>
      </c>
      <c r="GT26" s="23">
        <v>143.53937654300003</v>
      </c>
      <c r="GU26" s="23">
        <v>164.06569288199998</v>
      </c>
      <c r="GV26" s="23">
        <v>155.43784690699999</v>
      </c>
      <c r="GW26" s="23">
        <v>305.68063295700006</v>
      </c>
      <c r="GX26" s="23">
        <v>71.910029921999993</v>
      </c>
      <c r="GY26" s="23">
        <v>211.75734237399999</v>
      </c>
      <c r="GZ26" s="23">
        <v>141.51895014899998</v>
      </c>
      <c r="HA26" s="23">
        <v>185.22076246699999</v>
      </c>
      <c r="HB26" s="23">
        <v>162.16807489400003</v>
      </c>
      <c r="HC26" s="23">
        <v>143.33269580799998</v>
      </c>
      <c r="HD26" s="23">
        <v>188.90670220499999</v>
      </c>
      <c r="HE26" s="23">
        <v>351.35477883499999</v>
      </c>
      <c r="HF26" s="23"/>
      <c r="HG26" s="23"/>
      <c r="HH26" s="23"/>
      <c r="HI26" s="23"/>
    </row>
    <row r="27" spans="1:217">
      <c r="A27" s="29" t="s">
        <v>65</v>
      </c>
      <c r="B27" s="2">
        <v>101.41103038300001</v>
      </c>
      <c r="C27" s="2">
        <v>100.91063431500001</v>
      </c>
      <c r="D27" s="2">
        <v>103.60947633000001</v>
      </c>
      <c r="E27" s="2">
        <v>100.12094522700001</v>
      </c>
      <c r="F27" s="2">
        <v>88.748399896999999</v>
      </c>
      <c r="G27" s="2">
        <v>94.992328103999995</v>
      </c>
      <c r="H27" s="2">
        <v>90.983169517999997</v>
      </c>
      <c r="I27" s="2">
        <v>158.455166999</v>
      </c>
      <c r="J27" s="2">
        <v>91.140826400999998</v>
      </c>
      <c r="K27" s="2">
        <v>90.936630327000003</v>
      </c>
      <c r="L27" s="2">
        <v>91.284270785999993</v>
      </c>
      <c r="M27" s="2">
        <v>331.37464534400004</v>
      </c>
      <c r="N27" s="2">
        <v>35.411304127000001</v>
      </c>
      <c r="O27" s="2">
        <v>152.609942738</v>
      </c>
      <c r="P27" s="2">
        <v>103.989614613</v>
      </c>
      <c r="Q27" s="2">
        <v>92.793573688999999</v>
      </c>
      <c r="R27" s="2">
        <v>156.928030718</v>
      </c>
      <c r="S27" s="2">
        <v>98.855556149000009</v>
      </c>
      <c r="T27" s="2">
        <v>143.69595188899999</v>
      </c>
      <c r="U27" s="2">
        <v>124.144878779</v>
      </c>
      <c r="V27" s="2">
        <v>124.324028372</v>
      </c>
      <c r="W27" s="2">
        <v>123.577583387</v>
      </c>
      <c r="X27" s="2">
        <v>122.32406266</v>
      </c>
      <c r="Y27" s="2">
        <v>143.728955794</v>
      </c>
      <c r="Z27" s="2">
        <v>131.71813624500001</v>
      </c>
      <c r="AA27" s="2">
        <v>138.81738737199998</v>
      </c>
      <c r="AB27" s="2">
        <v>221.13256297499998</v>
      </c>
      <c r="AC27" s="2">
        <v>102.82910277800001</v>
      </c>
      <c r="AD27" s="2">
        <v>74.453888712999998</v>
      </c>
      <c r="AE27" s="2">
        <v>133.37089878500001</v>
      </c>
      <c r="AF27" s="2">
        <v>126.368139555</v>
      </c>
      <c r="AG27" s="2">
        <v>122.542537349</v>
      </c>
      <c r="AH27" s="2">
        <v>122.210008531</v>
      </c>
      <c r="AI27" s="2">
        <v>128.492959469</v>
      </c>
      <c r="AJ27" s="2">
        <v>122.904307772</v>
      </c>
      <c r="AK27" s="2">
        <v>125.66299497099999</v>
      </c>
      <c r="AL27" s="2">
        <v>126.497855774</v>
      </c>
      <c r="AM27" s="2">
        <v>134.78256202899999</v>
      </c>
      <c r="AN27" s="2">
        <v>147.64483649499999</v>
      </c>
      <c r="AO27" s="2">
        <v>127.60569650399999</v>
      </c>
      <c r="AP27" s="2">
        <v>130.909887629</v>
      </c>
      <c r="AQ27" s="2">
        <v>133.09275389799998</v>
      </c>
      <c r="AR27" s="2">
        <v>127.59967713600001</v>
      </c>
      <c r="AS27" s="2">
        <v>126.48133901700001</v>
      </c>
      <c r="AT27" s="2">
        <v>97.312699205999991</v>
      </c>
      <c r="AU27" s="2">
        <v>162.55446182899999</v>
      </c>
      <c r="AV27" s="2">
        <v>126.964387872</v>
      </c>
      <c r="AW27" s="2">
        <v>125.32086581900001</v>
      </c>
      <c r="AX27" s="2">
        <v>123.47140217899999</v>
      </c>
      <c r="AY27" s="2">
        <v>125.943392437</v>
      </c>
      <c r="AZ27" s="2">
        <v>138.17452801899998</v>
      </c>
      <c r="BA27" s="2">
        <v>124.049481746</v>
      </c>
      <c r="BB27" s="2">
        <v>137.93704857</v>
      </c>
      <c r="BC27" s="2">
        <v>135.69872530399999</v>
      </c>
      <c r="BD27" s="2">
        <v>126.71405115700001</v>
      </c>
      <c r="BE27" s="2">
        <v>126.46492529500001</v>
      </c>
      <c r="BF27" s="2">
        <v>129.84474825300001</v>
      </c>
      <c r="BG27" s="2">
        <v>127.44335605800001</v>
      </c>
      <c r="BH27" s="2">
        <v>121.887312244</v>
      </c>
      <c r="BI27" s="2">
        <v>122.02684377100002</v>
      </c>
      <c r="BJ27" s="2">
        <v>120.406139501</v>
      </c>
      <c r="BK27" s="2">
        <v>121.963683336</v>
      </c>
      <c r="BL27" s="2">
        <v>120.09953863400001</v>
      </c>
      <c r="BM27" s="2">
        <v>113.501102249</v>
      </c>
      <c r="BN27" s="2">
        <v>113.183608345</v>
      </c>
      <c r="BO27" s="2">
        <v>108.46678629</v>
      </c>
      <c r="BP27" s="2">
        <v>62.776754840999999</v>
      </c>
      <c r="BQ27" s="2">
        <v>157.70909859599999</v>
      </c>
      <c r="BR27" s="2">
        <v>107.505259619</v>
      </c>
      <c r="BS27" s="2">
        <v>130.08061154000001</v>
      </c>
      <c r="BT27" s="2">
        <v>126.623489667</v>
      </c>
      <c r="BU27" s="2">
        <v>136.28061421199999</v>
      </c>
      <c r="BV27" s="2">
        <v>130.57840407200001</v>
      </c>
      <c r="BW27" s="2">
        <v>132.07897184700002</v>
      </c>
      <c r="BX27" s="2">
        <v>144.227308263</v>
      </c>
      <c r="BY27" s="2">
        <v>142.92288358100001</v>
      </c>
      <c r="BZ27" s="2">
        <v>154.850144707</v>
      </c>
      <c r="CA27" s="2">
        <v>151.190589348</v>
      </c>
      <c r="CB27" s="2">
        <v>143.06059869200001</v>
      </c>
      <c r="CC27" s="2">
        <v>142.228356975</v>
      </c>
      <c r="CD27" s="2">
        <v>150.27024379800002</v>
      </c>
      <c r="CE27" s="2">
        <v>145.60426335299999</v>
      </c>
      <c r="CF27" s="2">
        <v>139.50638627700002</v>
      </c>
      <c r="CG27" s="2">
        <v>133.20424746400002</v>
      </c>
      <c r="CH27" s="2">
        <v>134.62718101999999</v>
      </c>
      <c r="CI27" s="2">
        <v>127.35465705199999</v>
      </c>
      <c r="CJ27" s="2">
        <v>113.415044904</v>
      </c>
      <c r="CK27" s="2">
        <v>110.25681369900001</v>
      </c>
      <c r="CL27" s="2">
        <v>119.06172721</v>
      </c>
      <c r="CM27" s="2">
        <v>117.019343298</v>
      </c>
      <c r="CN27" s="2">
        <v>124.44610872200001</v>
      </c>
      <c r="CO27" s="2">
        <v>128.64826665199999</v>
      </c>
      <c r="CP27" s="2">
        <v>133.30114504600002</v>
      </c>
      <c r="CQ27" s="2">
        <v>134.11474121399999</v>
      </c>
      <c r="CR27" s="2">
        <v>65.177263147999994</v>
      </c>
      <c r="CS27" s="2">
        <v>127.31231953599999</v>
      </c>
      <c r="CT27" s="2">
        <v>129.24483819599999</v>
      </c>
      <c r="CU27" s="2">
        <v>130.170974433</v>
      </c>
      <c r="CV27" s="2">
        <v>122.033946836</v>
      </c>
      <c r="CW27" s="2">
        <v>103.46539140699998</v>
      </c>
      <c r="CX27" s="2">
        <v>103.76475281</v>
      </c>
      <c r="CY27" s="2">
        <v>92.488293624000008</v>
      </c>
      <c r="CZ27" s="2">
        <v>102.052496181</v>
      </c>
      <c r="DA27" s="2">
        <v>104.00524724799999</v>
      </c>
      <c r="DB27" s="2">
        <v>110.67037404999999</v>
      </c>
      <c r="DC27" s="2">
        <v>112.42218408399999</v>
      </c>
      <c r="DD27" s="2">
        <v>112.20324648599998</v>
      </c>
      <c r="DE27" s="2">
        <v>111.37680174400001</v>
      </c>
      <c r="DF27" s="2">
        <v>125.823973568</v>
      </c>
      <c r="DG27" s="2">
        <v>241.77291971200003</v>
      </c>
      <c r="DH27" s="2">
        <v>130.20118022</v>
      </c>
      <c r="DI27" s="2">
        <v>179.07602424200002</v>
      </c>
      <c r="DJ27" s="2">
        <v>131.71875666599999</v>
      </c>
      <c r="DK27" s="2">
        <v>145.94168596699998</v>
      </c>
      <c r="DL27" s="2">
        <v>158.59151419700001</v>
      </c>
      <c r="DM27" s="2">
        <v>146.697376582</v>
      </c>
      <c r="DN27" s="2">
        <v>140.31123490499999</v>
      </c>
      <c r="DO27" s="2">
        <v>132.450665719</v>
      </c>
      <c r="DP27" s="2">
        <v>127.436346814</v>
      </c>
      <c r="DQ27" s="2">
        <v>182.60647203099998</v>
      </c>
      <c r="DR27" s="2">
        <v>229.60169758600003</v>
      </c>
      <c r="DS27" s="2">
        <v>184.27824984200001</v>
      </c>
      <c r="DT27" s="2">
        <v>113.330217668</v>
      </c>
      <c r="DU27" s="2">
        <v>112.17509498599999</v>
      </c>
      <c r="DV27" s="2">
        <v>111.496862494</v>
      </c>
      <c r="DW27" s="2">
        <v>128.225180481</v>
      </c>
      <c r="DX27" s="2">
        <v>126.06823207599999</v>
      </c>
      <c r="DY27" s="2">
        <v>122.95484317099998</v>
      </c>
      <c r="DZ27" s="2">
        <v>80.859782306000014</v>
      </c>
      <c r="EA27" s="2">
        <v>130.93656361999999</v>
      </c>
      <c r="EB27" s="2">
        <v>77.547935660000007</v>
      </c>
      <c r="EC27" s="2">
        <v>49.251001805999998</v>
      </c>
      <c r="ED27" s="2">
        <v>107.89487042399999</v>
      </c>
      <c r="EE27" s="2">
        <v>68.713151523999997</v>
      </c>
      <c r="EF27" s="2">
        <v>97.873907536000004</v>
      </c>
      <c r="EG27" s="2">
        <v>113.28582265599999</v>
      </c>
      <c r="EH27" s="2">
        <v>102.60557284400001</v>
      </c>
      <c r="EI27" s="2">
        <v>183.73591234899999</v>
      </c>
      <c r="EJ27" s="2">
        <v>98.447723175999997</v>
      </c>
      <c r="EK27" s="2">
        <v>114.36435060100001</v>
      </c>
      <c r="EL27" s="2">
        <v>99.583319349999996</v>
      </c>
      <c r="EM27" s="2">
        <v>153.00200627199999</v>
      </c>
      <c r="EN27" s="2">
        <v>90.74454978899999</v>
      </c>
      <c r="EO27" s="2">
        <v>200.95629303800001</v>
      </c>
      <c r="EP27" s="2">
        <v>10.833725527999995</v>
      </c>
      <c r="EQ27" s="2">
        <v>151.42489030799999</v>
      </c>
      <c r="ER27" s="2">
        <v>143.464366789</v>
      </c>
      <c r="ES27" s="2">
        <v>109.765655473</v>
      </c>
      <c r="ET27" s="2">
        <v>116.667533651</v>
      </c>
      <c r="EU27" s="2">
        <v>257.73551043999998</v>
      </c>
      <c r="EV27" s="2">
        <v>219.49373253800002</v>
      </c>
      <c r="EW27" s="2">
        <v>101.188802017</v>
      </c>
      <c r="EX27" s="2">
        <v>115.602515598</v>
      </c>
      <c r="EY27" s="2">
        <v>153.86457854700001</v>
      </c>
      <c r="EZ27" s="2">
        <v>122.952137298</v>
      </c>
      <c r="FA27" s="2">
        <v>305.25380416000002</v>
      </c>
      <c r="FB27" s="2">
        <v>111.53113999999999</v>
      </c>
      <c r="FC27" s="2">
        <v>169.31729485299999</v>
      </c>
      <c r="FD27" s="2">
        <v>132.761167</v>
      </c>
      <c r="FE27" s="2">
        <v>146.809930509</v>
      </c>
      <c r="FF27" s="2">
        <v>193.88373112899998</v>
      </c>
      <c r="FG27" s="2">
        <v>133.55195642500001</v>
      </c>
      <c r="FH27" s="2">
        <v>141.40386838600003</v>
      </c>
      <c r="FI27" s="2">
        <v>130.25592995</v>
      </c>
      <c r="FJ27" s="2">
        <v>310.99209724300005</v>
      </c>
      <c r="FK27" s="2">
        <v>256.54225387100001</v>
      </c>
      <c r="FL27" s="2">
        <v>247.61054390499996</v>
      </c>
      <c r="FM27" s="2">
        <v>288.69306</v>
      </c>
      <c r="FN27" s="2">
        <v>48.397897976000003</v>
      </c>
      <c r="FO27" s="2">
        <v>120.211794935</v>
      </c>
      <c r="FP27" s="2">
        <v>159.49796806499998</v>
      </c>
      <c r="FQ27" s="2">
        <v>121.80765648800001</v>
      </c>
      <c r="FR27" s="2">
        <v>78.969427664000008</v>
      </c>
      <c r="FS27" s="2">
        <v>135.77326926900002</v>
      </c>
      <c r="FT27" s="2">
        <v>118.238497821</v>
      </c>
      <c r="FU27" s="2">
        <v>126.65031696299999</v>
      </c>
      <c r="FV27" s="2">
        <v>140.43825045599999</v>
      </c>
      <c r="FW27" s="2">
        <v>116.44575651000001</v>
      </c>
      <c r="FX27" s="2">
        <v>62.467765110000002</v>
      </c>
      <c r="FY27" s="2">
        <v>367.18754398600004</v>
      </c>
      <c r="FZ27" s="2">
        <v>14.014524999999999</v>
      </c>
      <c r="GA27" s="2">
        <v>129.77853433500002</v>
      </c>
      <c r="GB27" s="22">
        <v>130.423194972</v>
      </c>
      <c r="GC27" s="22">
        <v>138.721645475</v>
      </c>
      <c r="GD27" s="22">
        <v>156.88515697700001</v>
      </c>
      <c r="GE27" s="22">
        <v>125.649296277</v>
      </c>
      <c r="GF27" s="22">
        <v>123.54072043000001</v>
      </c>
      <c r="GG27" s="33">
        <v>114.973991099</v>
      </c>
      <c r="GH27" s="33">
        <v>114.594061315</v>
      </c>
      <c r="GI27" s="33">
        <v>125.007087631</v>
      </c>
      <c r="GJ27" s="33">
        <v>179.40818225199999</v>
      </c>
      <c r="GK27" s="33">
        <v>134.28413997999999</v>
      </c>
      <c r="GL27" s="34">
        <v>270.24325931800007</v>
      </c>
      <c r="GM27" s="34">
        <v>258.93084088400002</v>
      </c>
      <c r="GN27" s="34">
        <v>137.567394796</v>
      </c>
      <c r="GO27" s="34">
        <v>242.054363588</v>
      </c>
      <c r="GP27" s="34">
        <v>136.90619030799999</v>
      </c>
      <c r="GQ27" s="34">
        <v>130.708175579</v>
      </c>
      <c r="GR27" s="34">
        <v>131.335231018</v>
      </c>
      <c r="GS27" s="34">
        <v>121.23933260599999</v>
      </c>
      <c r="GT27" s="34">
        <v>128.97449583900001</v>
      </c>
      <c r="GU27" s="34">
        <v>127.89270973000001</v>
      </c>
      <c r="GV27" s="34">
        <v>133.72465875999998</v>
      </c>
      <c r="GW27" s="34">
        <v>264.83139386100004</v>
      </c>
      <c r="GX27" s="34">
        <v>0</v>
      </c>
      <c r="GY27" s="34">
        <v>205.627462165</v>
      </c>
      <c r="GZ27" s="34">
        <v>66.817831102999989</v>
      </c>
      <c r="HA27" s="34">
        <v>126.417132869</v>
      </c>
      <c r="HB27" s="34">
        <v>123.86751915000001</v>
      </c>
      <c r="HC27" s="34">
        <v>111.405913461</v>
      </c>
      <c r="HD27" s="34">
        <v>121.45884095300001</v>
      </c>
      <c r="HE27" s="34">
        <v>278.74570850000003</v>
      </c>
      <c r="HF27" s="34"/>
      <c r="HG27" s="34"/>
      <c r="HH27" s="34"/>
      <c r="HI27" s="34"/>
    </row>
    <row r="28" spans="1:217">
      <c r="A28" s="35" t="s">
        <v>66</v>
      </c>
      <c r="B28" s="2">
        <v>2.098842080999995</v>
      </c>
      <c r="C28" s="2">
        <v>1.4003925309999905</v>
      </c>
      <c r="D28" s="2">
        <v>7.4597215930000091</v>
      </c>
      <c r="E28" s="2">
        <v>3.6541161700000084</v>
      </c>
      <c r="F28" s="2">
        <v>9.3355786870000017</v>
      </c>
      <c r="G28" s="2">
        <v>2.3780637279999937</v>
      </c>
      <c r="H28" s="2">
        <v>1.8093930379999947</v>
      </c>
      <c r="I28" s="2">
        <v>7.2196692379999732</v>
      </c>
      <c r="J28" s="2">
        <v>6.0758988130000073</v>
      </c>
      <c r="K28" s="2">
        <v>0.91726330099999909</v>
      </c>
      <c r="L28" s="2">
        <v>6.2904191790000041</v>
      </c>
      <c r="M28" s="2">
        <v>1.7732432970000083</v>
      </c>
      <c r="N28" s="2">
        <v>1.5761677330000021</v>
      </c>
      <c r="O28" s="2">
        <v>5.1446166599999996</v>
      </c>
      <c r="P28" s="2">
        <v>8.8619375710000021</v>
      </c>
      <c r="Q28" s="2">
        <v>0.61188816800000501</v>
      </c>
      <c r="R28" s="2">
        <v>3.728419473999995</v>
      </c>
      <c r="S28" s="2">
        <v>0.97074477600000686</v>
      </c>
      <c r="T28" s="2">
        <v>3.6830357880000082</v>
      </c>
      <c r="U28" s="2">
        <v>9.4646274080000001</v>
      </c>
      <c r="V28" s="2">
        <v>5.1852845520000121</v>
      </c>
      <c r="W28" s="2">
        <v>0.5397745980000036</v>
      </c>
      <c r="X28" s="2">
        <v>2.1645588819999975</v>
      </c>
      <c r="Y28" s="2">
        <v>1.2694240480000154</v>
      </c>
      <c r="Z28" s="2">
        <v>0.90121909500000763</v>
      </c>
      <c r="AA28" s="2">
        <v>4.2967117169999982</v>
      </c>
      <c r="AB28" s="2">
        <v>5.0608090720000041</v>
      </c>
      <c r="AC28" s="2">
        <v>11.518251262999998</v>
      </c>
      <c r="AD28" s="2">
        <v>1.9195645139999979</v>
      </c>
      <c r="AE28" s="2">
        <v>44.401909475000025</v>
      </c>
      <c r="AF28" s="2">
        <v>4.0250931600000044</v>
      </c>
      <c r="AG28" s="2">
        <v>4.7308651620000015</v>
      </c>
      <c r="AH28" s="2">
        <v>10.80182944100001</v>
      </c>
      <c r="AI28" s="2">
        <v>1.752432639999999</v>
      </c>
      <c r="AJ28" s="2">
        <v>1.3137472439999984</v>
      </c>
      <c r="AK28" s="2">
        <v>21.31941635099998</v>
      </c>
      <c r="AL28" s="2">
        <v>0.70499320399999854</v>
      </c>
      <c r="AM28" s="2">
        <v>3.6459079879999918</v>
      </c>
      <c r="AN28" s="2">
        <v>4.96079520600001</v>
      </c>
      <c r="AO28" s="2">
        <v>5.7001421710000137</v>
      </c>
      <c r="AP28" s="2">
        <v>56.071700756999981</v>
      </c>
      <c r="AQ28" s="2">
        <v>0.43332487499999117</v>
      </c>
      <c r="AR28" s="2">
        <v>5.8477498130000019</v>
      </c>
      <c r="AS28" s="2">
        <v>8.6480733610000033</v>
      </c>
      <c r="AT28" s="2">
        <v>3.8246473390000029</v>
      </c>
      <c r="AU28" s="2">
        <v>3.4727953989999949</v>
      </c>
      <c r="AV28" s="2">
        <v>7.4703887269999978</v>
      </c>
      <c r="AW28" s="2">
        <v>0.14341286499999115</v>
      </c>
      <c r="AX28" s="2">
        <v>2.1590706539999958</v>
      </c>
      <c r="AY28" s="2">
        <v>3.3579336570000016</v>
      </c>
      <c r="AZ28" s="2">
        <v>3.4918689449999949</v>
      </c>
      <c r="BA28" s="2">
        <v>0.65722115100000522</v>
      </c>
      <c r="BB28" s="2">
        <v>0.97875804200000127</v>
      </c>
      <c r="BC28" s="2">
        <v>0.40783653299999423</v>
      </c>
      <c r="BD28" s="2">
        <v>11.847492253999983</v>
      </c>
      <c r="BE28" s="2">
        <v>16.917755491000005</v>
      </c>
      <c r="BF28" s="2">
        <v>5.4818371939999926</v>
      </c>
      <c r="BG28" s="2">
        <v>0.30262481900000421</v>
      </c>
      <c r="BH28" s="2">
        <v>10.806189868999994</v>
      </c>
      <c r="BI28" s="2">
        <v>9.3341304940000125</v>
      </c>
      <c r="BJ28" s="2">
        <v>3.8866558449999866</v>
      </c>
      <c r="BK28" s="2">
        <v>33.436805930999995</v>
      </c>
      <c r="BL28" s="2">
        <v>5.3311446139999896</v>
      </c>
      <c r="BM28" s="2">
        <v>-4.3954354409999938</v>
      </c>
      <c r="BN28" s="2">
        <v>1.8272894750000124</v>
      </c>
      <c r="BO28" s="2">
        <v>1.1781380380000046</v>
      </c>
      <c r="BP28" s="2">
        <v>0.82627171899999663</v>
      </c>
      <c r="BQ28" s="2">
        <v>3.8255840329999917</v>
      </c>
      <c r="BR28" s="2">
        <v>3.3420554209999973</v>
      </c>
      <c r="BS28" s="2">
        <v>0.33589497299998766</v>
      </c>
      <c r="BT28" s="2">
        <v>2.275244593999989</v>
      </c>
      <c r="BU28" s="2">
        <v>0.46656645700000809</v>
      </c>
      <c r="BV28" s="2">
        <v>0.7129535589999868</v>
      </c>
      <c r="BW28" s="2">
        <v>2.0348387820000062</v>
      </c>
      <c r="BX28" s="2">
        <v>2.3801350010000171</v>
      </c>
      <c r="BY28" s="2">
        <v>5.0455791339999996</v>
      </c>
      <c r="BZ28" s="2">
        <v>3.8081833610000029</v>
      </c>
      <c r="CA28" s="2">
        <v>0.14090278100001161</v>
      </c>
      <c r="CB28" s="2">
        <v>0.60733119799999991</v>
      </c>
      <c r="CC28" s="2">
        <v>2.5933023500000125</v>
      </c>
      <c r="CD28" s="2">
        <v>2.1613599550000218</v>
      </c>
      <c r="CE28" s="2">
        <v>9.0839818349999835</v>
      </c>
      <c r="CF28" s="2">
        <v>1.4699667109999863</v>
      </c>
      <c r="CG28" s="2">
        <v>0.35806159799997112</v>
      </c>
      <c r="CH28" s="2">
        <v>0.6003070120000048</v>
      </c>
      <c r="CI28" s="2">
        <v>8.6266502540000083</v>
      </c>
      <c r="CJ28" s="2">
        <v>1.8149853119999897</v>
      </c>
      <c r="CK28" s="2">
        <v>0.32358623200000147</v>
      </c>
      <c r="CL28" s="2">
        <v>4.9653880019999921</v>
      </c>
      <c r="CM28" s="2">
        <v>0.80844762299998552</v>
      </c>
      <c r="CN28" s="2">
        <v>0.55122262000000044</v>
      </c>
      <c r="CO28" s="2">
        <v>2.1088441780000138</v>
      </c>
      <c r="CP28" s="2">
        <v>1.7111801129999804</v>
      </c>
      <c r="CQ28" s="2">
        <v>0.28322145199999793</v>
      </c>
      <c r="CR28" s="2">
        <v>8.4783032510000051</v>
      </c>
      <c r="CS28" s="2">
        <v>64.160648100000017</v>
      </c>
      <c r="CT28" s="2">
        <v>5.4636834999982967E-2</v>
      </c>
      <c r="CU28" s="2">
        <v>2.2296647550000341</v>
      </c>
      <c r="CV28" s="2">
        <v>2.1894546730000002</v>
      </c>
      <c r="CW28" s="2">
        <v>16.181929031999999</v>
      </c>
      <c r="CX28" s="2">
        <v>5.1040828559999936</v>
      </c>
      <c r="CY28" s="2">
        <v>13.762933118999994</v>
      </c>
      <c r="CZ28" s="2">
        <v>25.496915415999975</v>
      </c>
      <c r="DA28" s="2">
        <v>6.2557754099999725</v>
      </c>
      <c r="DB28" s="2">
        <v>5.6572346280000056</v>
      </c>
      <c r="DC28" s="2">
        <v>157.36810236900004</v>
      </c>
      <c r="DD28" s="2">
        <v>41.840049406999981</v>
      </c>
      <c r="DE28" s="2">
        <v>53.872408977999974</v>
      </c>
      <c r="DF28" s="2">
        <v>43.842450547999938</v>
      </c>
      <c r="DG28" s="2">
        <v>51.205307852000026</v>
      </c>
      <c r="DH28" s="2">
        <v>85.115058657000048</v>
      </c>
      <c r="DI28" s="2">
        <v>76.45193137599999</v>
      </c>
      <c r="DJ28" s="2">
        <v>77.704301029000021</v>
      </c>
      <c r="DK28" s="2">
        <v>82.74504879200002</v>
      </c>
      <c r="DL28" s="2">
        <v>84.197508573999983</v>
      </c>
      <c r="DM28" s="2">
        <v>90.965982542999996</v>
      </c>
      <c r="DN28" s="2">
        <v>86.926906498999998</v>
      </c>
      <c r="DO28" s="2">
        <v>81.082558316999993</v>
      </c>
      <c r="DP28" s="2">
        <v>73.818342095000034</v>
      </c>
      <c r="DQ28" s="2">
        <v>-396.93090890299999</v>
      </c>
      <c r="DR28" s="2">
        <v>39.682861639000009</v>
      </c>
      <c r="DS28" s="2">
        <v>55.203366993999978</v>
      </c>
      <c r="DT28" s="2">
        <v>46.899600123000013</v>
      </c>
      <c r="DU28" s="2">
        <v>36.637646164000017</v>
      </c>
      <c r="DV28" s="2">
        <v>77.085178539000012</v>
      </c>
      <c r="DW28" s="2">
        <v>63.493649506000018</v>
      </c>
      <c r="DX28" s="2">
        <v>87.000878873000005</v>
      </c>
      <c r="DY28" s="2">
        <v>71.819313343000019</v>
      </c>
      <c r="DZ28" s="2">
        <v>64.437721514999978</v>
      </c>
      <c r="EA28" s="2">
        <v>65.582528432999993</v>
      </c>
      <c r="EB28" s="2">
        <v>63.845533897000003</v>
      </c>
      <c r="EC28" s="2">
        <v>138.074020311</v>
      </c>
      <c r="ED28" s="2">
        <v>65.075466614000007</v>
      </c>
      <c r="EE28" s="2">
        <v>67.581833402000001</v>
      </c>
      <c r="EF28" s="2">
        <v>5.5743383440000036</v>
      </c>
      <c r="EG28" s="2">
        <v>40.945592392999984</v>
      </c>
      <c r="EH28" s="2">
        <v>24.290138103999997</v>
      </c>
      <c r="EI28" s="2">
        <v>204.116610385</v>
      </c>
      <c r="EJ28" s="2">
        <v>51.629533587999994</v>
      </c>
      <c r="EK28" s="2">
        <v>59.797750983000007</v>
      </c>
      <c r="EL28" s="2">
        <v>20.021863698999994</v>
      </c>
      <c r="EM28" s="2">
        <v>131.06828286999996</v>
      </c>
      <c r="EN28" s="2">
        <v>0.29303758200000446</v>
      </c>
      <c r="EO28" s="2">
        <v>27.064360885999982</v>
      </c>
      <c r="EP28" s="2">
        <v>57.129301611999999</v>
      </c>
      <c r="EQ28" s="2">
        <v>102.40915525900002</v>
      </c>
      <c r="ER28" s="2">
        <v>92.091427314000001</v>
      </c>
      <c r="ES28" s="2">
        <v>27.153529796999997</v>
      </c>
      <c r="ET28" s="2">
        <v>29.222442372000021</v>
      </c>
      <c r="EU28" s="2">
        <v>187.064759748</v>
      </c>
      <c r="EV28" s="2">
        <v>143.20330635400003</v>
      </c>
      <c r="EW28" s="2">
        <v>16.393677515999997</v>
      </c>
      <c r="EX28" s="2">
        <v>0.457087102999998</v>
      </c>
      <c r="EY28" s="2">
        <v>1.3495178559999912</v>
      </c>
      <c r="EZ28" s="2">
        <v>10.223803751999993</v>
      </c>
      <c r="FA28" s="2">
        <v>35.442302531999999</v>
      </c>
      <c r="FB28" s="2">
        <v>18.457216071999994</v>
      </c>
      <c r="FC28" s="2">
        <v>194.26478081599998</v>
      </c>
      <c r="FD28" s="2">
        <v>29.144623797999987</v>
      </c>
      <c r="FE28" s="2">
        <v>22.36623262799997</v>
      </c>
      <c r="FF28" s="2">
        <v>34.578862555999976</v>
      </c>
      <c r="FG28" s="2">
        <v>32.383785656000022</v>
      </c>
      <c r="FH28" s="2">
        <v>59.147105523999983</v>
      </c>
      <c r="FI28" s="2">
        <v>54.678972245999994</v>
      </c>
      <c r="FJ28" s="2">
        <v>294.74672242100002</v>
      </c>
      <c r="FK28" s="2">
        <v>127.81116339</v>
      </c>
      <c r="FL28" s="2">
        <v>85.237088726999943</v>
      </c>
      <c r="FM28" s="2">
        <v>97.940330107000023</v>
      </c>
      <c r="FN28" s="2">
        <v>118.11274152899999</v>
      </c>
      <c r="FO28" s="2">
        <v>12.711298838000003</v>
      </c>
      <c r="FP28" s="2">
        <v>0.38610121999998226</v>
      </c>
      <c r="FQ28" s="2">
        <v>121.58586446399998</v>
      </c>
      <c r="FR28" s="2">
        <v>229.37846066200001</v>
      </c>
      <c r="FS28" s="2">
        <v>99.990106086000011</v>
      </c>
      <c r="FT28" s="2">
        <v>113.05079238299999</v>
      </c>
      <c r="FU28" s="2">
        <v>85.772507992000001</v>
      </c>
      <c r="FV28" s="2">
        <v>76.469128167999997</v>
      </c>
      <c r="FW28" s="2">
        <v>71.30921144700001</v>
      </c>
      <c r="FX28" s="2">
        <v>79.981660524999981</v>
      </c>
      <c r="FY28" s="2">
        <v>153.70433171300007</v>
      </c>
      <c r="FZ28" s="2">
        <v>26.192394087999993</v>
      </c>
      <c r="GA28" s="2">
        <v>49.345896992000021</v>
      </c>
      <c r="GB28" s="22">
        <v>27.559135716000018</v>
      </c>
      <c r="GC28" s="22">
        <v>27.388206307999994</v>
      </c>
      <c r="GD28" s="22">
        <v>25.552509774999983</v>
      </c>
      <c r="GE28" s="22">
        <v>72.492738615999997</v>
      </c>
      <c r="GF28" s="22">
        <v>65.368826748000004</v>
      </c>
      <c r="GG28" s="22">
        <v>42.244796712999985</v>
      </c>
      <c r="GH28" s="22">
        <v>26.420233436000011</v>
      </c>
      <c r="GI28" s="22">
        <v>38.768189438</v>
      </c>
      <c r="GJ28" s="22">
        <v>25.768518620000016</v>
      </c>
      <c r="GK28" s="22">
        <v>46.810759335000007</v>
      </c>
      <c r="GL28" s="23">
        <v>57.772600193999999</v>
      </c>
      <c r="GM28" s="23">
        <v>39.240101320999969</v>
      </c>
      <c r="GN28" s="23">
        <v>17.499632008000017</v>
      </c>
      <c r="GO28" s="23">
        <v>31.717522131999953</v>
      </c>
      <c r="GP28" s="23">
        <v>21.129381301999995</v>
      </c>
      <c r="GQ28" s="23">
        <v>30.680874046999989</v>
      </c>
      <c r="GR28" s="23">
        <v>71.191987847000007</v>
      </c>
      <c r="GS28" s="23">
        <v>27.999412394</v>
      </c>
      <c r="GT28" s="23">
        <v>14.564880704000011</v>
      </c>
      <c r="GU28" s="23">
        <v>36.172983152</v>
      </c>
      <c r="GV28" s="23">
        <v>21.713188147000007</v>
      </c>
      <c r="GW28" s="23">
        <v>40.849239096000034</v>
      </c>
      <c r="GX28" s="23">
        <v>71.910029922000007</v>
      </c>
      <c r="GY28" s="23">
        <v>6.1298802089999951</v>
      </c>
      <c r="GZ28" s="23">
        <v>74.701119045999988</v>
      </c>
      <c r="HA28" s="23">
        <v>58.803629598000001</v>
      </c>
      <c r="HB28" s="23">
        <v>38.300555744000015</v>
      </c>
      <c r="HC28" s="23">
        <v>31.926782346999985</v>
      </c>
      <c r="HD28" s="23">
        <v>67.447861251999996</v>
      </c>
      <c r="HE28" s="23">
        <v>72.609070334999998</v>
      </c>
      <c r="HF28" s="23"/>
      <c r="HG28" s="23"/>
      <c r="HH28" s="23"/>
      <c r="HI28" s="23"/>
    </row>
    <row r="29" spans="1:217">
      <c r="A29" s="29" t="s">
        <v>67</v>
      </c>
      <c r="B29" s="2">
        <v>9.8432099299999987</v>
      </c>
      <c r="C29" s="2">
        <v>29.224816484000005</v>
      </c>
      <c r="D29" s="2">
        <v>23.275839553999997</v>
      </c>
      <c r="E29" s="2">
        <v>34.001325349000005</v>
      </c>
      <c r="F29" s="2">
        <v>19.382756897000004</v>
      </c>
      <c r="G29" s="2">
        <v>24.370253326</v>
      </c>
      <c r="H29" s="2">
        <v>24.859875092999999</v>
      </c>
      <c r="I29" s="2">
        <v>22.926335318999996</v>
      </c>
      <c r="J29" s="2">
        <v>31.315048390000001</v>
      </c>
      <c r="K29" s="2">
        <v>28.340058581000001</v>
      </c>
      <c r="L29" s="2">
        <v>53.612396838999999</v>
      </c>
      <c r="M29" s="2">
        <v>51.425550295000001</v>
      </c>
      <c r="N29" s="2">
        <v>14.943729494999999</v>
      </c>
      <c r="O29" s="2">
        <v>22.302006244000001</v>
      </c>
      <c r="P29" s="2">
        <v>26.968928156999997</v>
      </c>
      <c r="Q29" s="2">
        <v>51.34883880999999</v>
      </c>
      <c r="R29" s="2">
        <v>54.513193367999996</v>
      </c>
      <c r="S29" s="2">
        <v>29.753363990000004</v>
      </c>
      <c r="T29" s="2">
        <v>90.947081098000012</v>
      </c>
      <c r="U29" s="2">
        <v>58.885575231999994</v>
      </c>
      <c r="V29" s="2">
        <v>58.806589681000005</v>
      </c>
      <c r="W29" s="2">
        <v>53.420387024999997</v>
      </c>
      <c r="X29" s="2">
        <v>34.451512211000008</v>
      </c>
      <c r="Y29" s="2">
        <v>63.239944375999997</v>
      </c>
      <c r="Z29" s="2">
        <v>24.198626695000002</v>
      </c>
      <c r="AA29" s="2">
        <v>38.029352379000002</v>
      </c>
      <c r="AB29" s="2">
        <v>38.662500967</v>
      </c>
      <c r="AC29" s="2">
        <v>35.368611297000001</v>
      </c>
      <c r="AD29" s="2">
        <v>35.526677335000002</v>
      </c>
      <c r="AE29" s="2">
        <v>42.248446185999995</v>
      </c>
      <c r="AF29" s="2">
        <v>27.451349318000002</v>
      </c>
      <c r="AG29" s="2">
        <v>48.475898947999994</v>
      </c>
      <c r="AH29" s="2">
        <v>34.427788786000001</v>
      </c>
      <c r="AI29" s="2">
        <v>40.082418142999998</v>
      </c>
      <c r="AJ29" s="2">
        <v>47.996737451999998</v>
      </c>
      <c r="AK29" s="2">
        <v>67.277359390000001</v>
      </c>
      <c r="AL29" s="2">
        <v>163.61269384399998</v>
      </c>
      <c r="AM29" s="2">
        <v>27.326799420999997</v>
      </c>
      <c r="AN29" s="2">
        <v>42.871274025000005</v>
      </c>
      <c r="AO29" s="2">
        <v>31.683658822999998</v>
      </c>
      <c r="AP29" s="2">
        <v>36.789868260999995</v>
      </c>
      <c r="AQ29" s="2">
        <v>34.876279597</v>
      </c>
      <c r="AR29" s="2">
        <v>37.742776334000006</v>
      </c>
      <c r="AS29" s="2">
        <v>37.356873708999998</v>
      </c>
      <c r="AT29" s="2">
        <v>200.64102226400001</v>
      </c>
      <c r="AU29" s="2">
        <v>36.587630991999994</v>
      </c>
      <c r="AV29" s="2">
        <v>28.945565297000002</v>
      </c>
      <c r="AW29" s="2">
        <v>46.166446774999997</v>
      </c>
      <c r="AX29" s="2">
        <v>41.499953200999997</v>
      </c>
      <c r="AY29" s="2">
        <v>29.907490001999996</v>
      </c>
      <c r="AZ29" s="2">
        <v>143.70340393399999</v>
      </c>
      <c r="BA29" s="2">
        <v>29.950572113</v>
      </c>
      <c r="BB29" s="2">
        <v>178.33908824100004</v>
      </c>
      <c r="BC29" s="2">
        <v>29.745498656000002</v>
      </c>
      <c r="BD29" s="2">
        <v>38.860560649999996</v>
      </c>
      <c r="BE29" s="2">
        <v>91.473502092999993</v>
      </c>
      <c r="BF29" s="2">
        <v>56.824569105000002</v>
      </c>
      <c r="BG29" s="2">
        <v>183.859541065</v>
      </c>
      <c r="BH29" s="2">
        <v>64.005555909999998</v>
      </c>
      <c r="BI29" s="2">
        <v>44.950872727000004</v>
      </c>
      <c r="BJ29" s="2">
        <v>39.022958072999998</v>
      </c>
      <c r="BK29" s="2">
        <v>87.465265149000004</v>
      </c>
      <c r="BL29" s="2">
        <v>77.993895046000006</v>
      </c>
      <c r="BM29" s="2">
        <v>81.098783214999997</v>
      </c>
      <c r="BN29" s="2">
        <v>52.487339374000008</v>
      </c>
      <c r="BO29" s="2">
        <v>66.305703831999992</v>
      </c>
      <c r="BP29" s="2">
        <v>45.003201609999998</v>
      </c>
      <c r="BQ29" s="2">
        <v>45.512403493000008</v>
      </c>
      <c r="BR29" s="2">
        <v>39.275458882000002</v>
      </c>
      <c r="BS29" s="2">
        <v>39.337108060999995</v>
      </c>
      <c r="BT29" s="2">
        <v>227.00799291000001</v>
      </c>
      <c r="BU29" s="2">
        <v>129.97260075700004</v>
      </c>
      <c r="BV29" s="2">
        <v>194.20023736599995</v>
      </c>
      <c r="BW29" s="2">
        <v>37.598763885999993</v>
      </c>
      <c r="BX29" s="2">
        <v>45.536687605000004</v>
      </c>
      <c r="BY29" s="2">
        <v>111.83776848500001</v>
      </c>
      <c r="BZ29" s="2">
        <v>36.593241435000003</v>
      </c>
      <c r="CA29" s="2">
        <v>38.490001935000002</v>
      </c>
      <c r="CB29" s="2">
        <v>122.18044661900001</v>
      </c>
      <c r="CC29" s="2">
        <v>40.303892123000004</v>
      </c>
      <c r="CD29" s="2">
        <v>37.362384849000001</v>
      </c>
      <c r="CE29" s="2">
        <v>71.747326247000004</v>
      </c>
      <c r="CF29" s="2">
        <v>129.88342389599998</v>
      </c>
      <c r="CG29" s="2">
        <v>164.24129227399999</v>
      </c>
      <c r="CH29" s="2">
        <v>33.418827227999998</v>
      </c>
      <c r="CI29" s="2">
        <v>38.230547369</v>
      </c>
      <c r="CJ29" s="2">
        <v>56.025828982</v>
      </c>
      <c r="CK29" s="2">
        <v>44.055145586000002</v>
      </c>
      <c r="CL29" s="2">
        <v>41.291236111000003</v>
      </c>
      <c r="CM29" s="2">
        <v>53.763712743999996</v>
      </c>
      <c r="CN29" s="2">
        <v>48.318838645</v>
      </c>
      <c r="CO29" s="2">
        <v>41.533859924000005</v>
      </c>
      <c r="CP29" s="2">
        <v>46.661268695999993</v>
      </c>
      <c r="CQ29" s="2">
        <v>59.22730713</v>
      </c>
      <c r="CR29" s="2">
        <v>53.739201292999994</v>
      </c>
      <c r="CS29" s="2">
        <v>78.252772786000008</v>
      </c>
      <c r="CT29" s="2">
        <v>26.995365532999998</v>
      </c>
      <c r="CU29" s="2">
        <v>33.212607236000004</v>
      </c>
      <c r="CV29" s="2">
        <v>47.091542892</v>
      </c>
      <c r="CW29" s="2">
        <v>47.948602937000004</v>
      </c>
      <c r="CX29" s="2">
        <v>64.311193654999997</v>
      </c>
      <c r="CY29" s="2">
        <v>66.521941091000002</v>
      </c>
      <c r="CZ29" s="2">
        <v>33.553041580999995</v>
      </c>
      <c r="DA29" s="2">
        <v>70.096814592999991</v>
      </c>
      <c r="DB29" s="2">
        <v>58.796497654000007</v>
      </c>
      <c r="DC29" s="2">
        <v>52.198333945000002</v>
      </c>
      <c r="DD29" s="2">
        <v>62.186889439000005</v>
      </c>
      <c r="DE29" s="2">
        <v>70.167614827999998</v>
      </c>
      <c r="DF29" s="2">
        <v>55.221589428999998</v>
      </c>
      <c r="DG29" s="2">
        <v>52.972499851999999</v>
      </c>
      <c r="DH29" s="2">
        <v>63.976991043999995</v>
      </c>
      <c r="DI29" s="2">
        <v>54.023550025999995</v>
      </c>
      <c r="DJ29" s="2">
        <v>61.375199847000005</v>
      </c>
      <c r="DK29" s="2">
        <v>47.897953266999998</v>
      </c>
      <c r="DL29" s="2">
        <v>46.119074703999999</v>
      </c>
      <c r="DM29" s="2">
        <v>52.927847214000003</v>
      </c>
      <c r="DN29" s="2">
        <v>79.377117877999993</v>
      </c>
      <c r="DO29" s="2">
        <v>69.567877952000003</v>
      </c>
      <c r="DP29" s="2">
        <v>62.778317350999998</v>
      </c>
      <c r="DQ29" s="2">
        <v>541.72516850399995</v>
      </c>
      <c r="DR29" s="2">
        <v>160.41749537799998</v>
      </c>
      <c r="DS29" s="2">
        <v>85.49645534199999</v>
      </c>
      <c r="DT29" s="2">
        <v>175.84511557600001</v>
      </c>
      <c r="DU29" s="2">
        <v>213.95400113700003</v>
      </c>
      <c r="DV29" s="2">
        <v>106.40525911500001</v>
      </c>
      <c r="DW29" s="2">
        <v>114.833561265</v>
      </c>
      <c r="DX29" s="2">
        <v>110.91501189900001</v>
      </c>
      <c r="DY29" s="2">
        <v>118.25124955500002</v>
      </c>
      <c r="DZ29" s="2">
        <v>165.99078660599997</v>
      </c>
      <c r="EA29" s="2">
        <v>103.23500794500001</v>
      </c>
      <c r="EB29" s="2">
        <v>144.60435680899997</v>
      </c>
      <c r="EC29" s="2">
        <v>157.67516652700002</v>
      </c>
      <c r="ED29" s="2">
        <v>169.70173918000003</v>
      </c>
      <c r="EE29" s="2">
        <v>43.231051003999994</v>
      </c>
      <c r="EF29" s="2">
        <v>126.87233167200002</v>
      </c>
      <c r="EG29" s="2">
        <v>128.34914042399998</v>
      </c>
      <c r="EH29" s="2">
        <v>514.67150780899999</v>
      </c>
      <c r="EI29" s="2">
        <v>-158.05544835700002</v>
      </c>
      <c r="EJ29" s="2">
        <v>184.67534376699999</v>
      </c>
      <c r="EK29" s="2">
        <v>61.218751573999995</v>
      </c>
      <c r="EL29" s="2">
        <v>327.58188031300006</v>
      </c>
      <c r="EM29" s="2">
        <v>-41.221717308999978</v>
      </c>
      <c r="EN29" s="2">
        <v>124.24399837799999</v>
      </c>
      <c r="EO29" s="2">
        <v>130.71676837300001</v>
      </c>
      <c r="EP29" s="2">
        <v>254.63223211499999</v>
      </c>
      <c r="EQ29" s="2">
        <v>149.532699855</v>
      </c>
      <c r="ER29" s="2">
        <v>24.940923668000011</v>
      </c>
      <c r="ES29" s="2">
        <v>87.039759932999999</v>
      </c>
      <c r="ET29" s="2">
        <v>568.96470349399999</v>
      </c>
      <c r="EU29" s="2">
        <v>97.617518801000017</v>
      </c>
      <c r="EV29" s="2">
        <v>-94.039855442999965</v>
      </c>
      <c r="EW29" s="2">
        <v>323.591500575</v>
      </c>
      <c r="EX29" s="2">
        <v>189.08698820200001</v>
      </c>
      <c r="EY29" s="2">
        <v>179.92207641599998</v>
      </c>
      <c r="EZ29" s="2">
        <v>334.99173137400004</v>
      </c>
      <c r="FA29" s="2">
        <v>371.08275393799988</v>
      </c>
      <c r="FB29" s="2">
        <v>306.39717469999994</v>
      </c>
      <c r="FC29" s="2">
        <v>-161.75291257400002</v>
      </c>
      <c r="FD29" s="2">
        <v>135.448273769</v>
      </c>
      <c r="FE29" s="2">
        <v>91.924209724999997</v>
      </c>
      <c r="FF29" s="2">
        <v>160.06788310899998</v>
      </c>
      <c r="FG29" s="2">
        <v>217.266537548</v>
      </c>
      <c r="FH29" s="2">
        <v>105.548455635</v>
      </c>
      <c r="FI29" s="2">
        <v>697.64071368300006</v>
      </c>
      <c r="FJ29" s="2">
        <v>-75.444411686999956</v>
      </c>
      <c r="FK29" s="2">
        <v>114.59719030800001</v>
      </c>
      <c r="FL29" s="2">
        <v>233.79304609799999</v>
      </c>
      <c r="FM29" s="2">
        <v>150.090049655</v>
      </c>
      <c r="FN29" s="2">
        <v>244.35700563300006</v>
      </c>
      <c r="FO29" s="2">
        <v>244.96793529000001</v>
      </c>
      <c r="FP29" s="2">
        <v>414.41710999899999</v>
      </c>
      <c r="FQ29" s="2">
        <v>39.829942609000007</v>
      </c>
      <c r="FR29" s="2">
        <v>44.895271450999992</v>
      </c>
      <c r="FS29" s="2">
        <v>191.95358757099999</v>
      </c>
      <c r="FT29" s="2">
        <v>189.14219758999997</v>
      </c>
      <c r="FU29" s="2">
        <v>206.027707806</v>
      </c>
      <c r="FV29" s="2">
        <v>203.787755858</v>
      </c>
      <c r="FW29" s="2">
        <v>173.671216579</v>
      </c>
      <c r="FX29" s="2">
        <v>255.716303528</v>
      </c>
      <c r="FY29" s="2">
        <v>195.16672831399998</v>
      </c>
      <c r="FZ29" s="2">
        <v>310.44773642999996</v>
      </c>
      <c r="GA29" s="2">
        <v>227.41625907199997</v>
      </c>
      <c r="GB29" s="22">
        <v>237.538320481</v>
      </c>
      <c r="GC29" s="22">
        <v>248.83151310499997</v>
      </c>
      <c r="GD29" s="22">
        <v>262.83164353299998</v>
      </c>
      <c r="GE29" s="22">
        <v>233.27210575699996</v>
      </c>
      <c r="GF29" s="22">
        <v>226.20348623500001</v>
      </c>
      <c r="GG29" s="22">
        <v>229.83171622899999</v>
      </c>
      <c r="GH29" s="22">
        <v>219.09926888299995</v>
      </c>
      <c r="GI29" s="22">
        <v>242.581134975</v>
      </c>
      <c r="GJ29" s="22">
        <v>287.30063994200003</v>
      </c>
      <c r="GK29" s="22">
        <v>247.00032871200003</v>
      </c>
      <c r="GL29" s="23">
        <v>379.88411424899994</v>
      </c>
      <c r="GM29" s="23">
        <v>362.25549082799995</v>
      </c>
      <c r="GN29" s="23">
        <v>253.47338504999996</v>
      </c>
      <c r="GO29" s="23">
        <v>346.53652255900005</v>
      </c>
      <c r="GP29" s="23">
        <v>246.948807929</v>
      </c>
      <c r="GQ29" s="23">
        <v>282.65860137299995</v>
      </c>
      <c r="GR29" s="23">
        <v>248.18070585400002</v>
      </c>
      <c r="GS29" s="23">
        <v>225.79192209300001</v>
      </c>
      <c r="GT29" s="23">
        <v>249.61977875700006</v>
      </c>
      <c r="GU29" s="23">
        <v>246.17501105099996</v>
      </c>
      <c r="GV29" s="23">
        <v>247.74488142300001</v>
      </c>
      <c r="GW29" s="23">
        <v>260.97091493199991</v>
      </c>
      <c r="GX29" s="23">
        <v>238.56075348799999</v>
      </c>
      <c r="GY29" s="23">
        <v>266.793355453</v>
      </c>
      <c r="GZ29" s="23">
        <v>163.76800329799997</v>
      </c>
      <c r="HA29" s="23">
        <v>133.57240525100002</v>
      </c>
      <c r="HB29" s="23">
        <v>148.55740385600001</v>
      </c>
      <c r="HC29" s="23">
        <v>208.05895531399997</v>
      </c>
      <c r="HD29" s="23">
        <v>192.14873074100004</v>
      </c>
      <c r="HE29" s="23">
        <v>329.25909410000003</v>
      </c>
      <c r="HF29" s="23"/>
      <c r="HG29" s="23"/>
      <c r="HH29" s="23"/>
      <c r="HI29" s="23"/>
    </row>
    <row r="30" spans="1:217">
      <c r="A30" s="29" t="s">
        <v>68</v>
      </c>
      <c r="B30" s="2">
        <v>1.1418978</v>
      </c>
      <c r="C30" s="2">
        <v>10.603341796</v>
      </c>
      <c r="D30" s="2">
        <v>0</v>
      </c>
      <c r="E30" s="2">
        <v>-1.1418978</v>
      </c>
      <c r="F30" s="2">
        <v>0</v>
      </c>
      <c r="G30" s="2">
        <v>0</v>
      </c>
      <c r="H30" s="2">
        <v>0</v>
      </c>
      <c r="I30" s="2">
        <v>0</v>
      </c>
      <c r="J30" s="2">
        <v>6.22</v>
      </c>
      <c r="K30" s="2">
        <v>0</v>
      </c>
      <c r="L30" s="2">
        <v>30.85</v>
      </c>
      <c r="M30" s="2">
        <v>0</v>
      </c>
      <c r="N30" s="2">
        <v>0</v>
      </c>
      <c r="O30" s="2">
        <v>0</v>
      </c>
      <c r="P30" s="2">
        <v>0</v>
      </c>
      <c r="Q30" s="2">
        <v>28.6</v>
      </c>
      <c r="R30" s="2">
        <v>28.431305823999999</v>
      </c>
      <c r="S30" s="2">
        <v>0</v>
      </c>
      <c r="T30" s="2">
        <v>58.086289878000002</v>
      </c>
      <c r="U30" s="2">
        <v>29.999723636999999</v>
      </c>
      <c r="V30" s="2">
        <v>30.640205641000001</v>
      </c>
      <c r="W30" s="2">
        <v>29.990232631999998</v>
      </c>
      <c r="X30" s="2">
        <v>0</v>
      </c>
      <c r="Y30" s="2">
        <v>14.726247755000001</v>
      </c>
      <c r="Z30" s="2">
        <v>9.5674511530000004</v>
      </c>
      <c r="AA30" s="2">
        <v>10.561345394</v>
      </c>
      <c r="AB30" s="2">
        <v>10.51152933</v>
      </c>
      <c r="AC30" s="2">
        <v>3.56484347</v>
      </c>
      <c r="AD30" s="2">
        <v>3.1979194999999998</v>
      </c>
      <c r="AE30" s="2">
        <v>17.355477458000003</v>
      </c>
      <c r="AF30" s="2">
        <v>0</v>
      </c>
      <c r="AG30" s="2">
        <v>18.359417544999999</v>
      </c>
      <c r="AH30" s="2">
        <v>0</v>
      </c>
      <c r="AI30" s="2">
        <v>8.8556205800000001</v>
      </c>
      <c r="AJ30" s="2">
        <v>18.560992978999998</v>
      </c>
      <c r="AK30" s="2">
        <v>0</v>
      </c>
      <c r="AL30" s="2">
        <v>136.00196669599998</v>
      </c>
      <c r="AM30" s="2">
        <v>0</v>
      </c>
      <c r="AN30" s="2">
        <v>10.190724968</v>
      </c>
      <c r="AO30" s="2">
        <v>0</v>
      </c>
      <c r="AP30" s="2">
        <v>0</v>
      </c>
      <c r="AQ30" s="2">
        <v>6.7290461070000003</v>
      </c>
      <c r="AR30" s="2">
        <v>0</v>
      </c>
      <c r="AS30" s="2">
        <v>0</v>
      </c>
      <c r="AT30" s="2">
        <v>163.19999999999999</v>
      </c>
      <c r="AU30" s="2">
        <v>0</v>
      </c>
      <c r="AV30" s="2">
        <v>0</v>
      </c>
      <c r="AW30" s="2">
        <v>0</v>
      </c>
      <c r="AX30" s="2">
        <v>15.553595251999999</v>
      </c>
      <c r="AY30" s="2">
        <v>0</v>
      </c>
      <c r="AZ30" s="2">
        <v>102</v>
      </c>
      <c r="BA30" s="2">
        <v>0</v>
      </c>
      <c r="BB30" s="2">
        <v>143.10098967800002</v>
      </c>
      <c r="BC30" s="2">
        <v>0</v>
      </c>
      <c r="BD30" s="2">
        <v>0</v>
      </c>
      <c r="BE30" s="2">
        <v>50.95</v>
      </c>
      <c r="BF30" s="2">
        <v>19.84</v>
      </c>
      <c r="BG30" s="2">
        <v>148.15</v>
      </c>
      <c r="BH30" s="2">
        <v>23</v>
      </c>
      <c r="BI30" s="2">
        <v>0</v>
      </c>
      <c r="BJ30" s="2">
        <v>0</v>
      </c>
      <c r="BK30" s="2">
        <v>46.9</v>
      </c>
      <c r="BL30" s="2">
        <v>46</v>
      </c>
      <c r="BM30" s="2">
        <v>43.8</v>
      </c>
      <c r="BN30" s="2">
        <v>12.494814034000001</v>
      </c>
      <c r="BO30" s="2">
        <v>27.829152894</v>
      </c>
      <c r="BP30" s="2">
        <v>0</v>
      </c>
      <c r="BQ30" s="2">
        <v>0</v>
      </c>
      <c r="BR30" s="2">
        <v>0</v>
      </c>
      <c r="BS30" s="2">
        <v>0</v>
      </c>
      <c r="BT30" s="2">
        <v>194.1</v>
      </c>
      <c r="BU30" s="2">
        <v>82.62</v>
      </c>
      <c r="BV30" s="2">
        <v>164.46</v>
      </c>
      <c r="BW30" s="2">
        <v>0</v>
      </c>
      <c r="BX30" s="2">
        <v>0</v>
      </c>
      <c r="BY30" s="2">
        <v>75.099999999999994</v>
      </c>
      <c r="BZ30" s="2">
        <v>0</v>
      </c>
      <c r="CA30" s="2">
        <v>0</v>
      </c>
      <c r="CB30" s="2">
        <v>89.82</v>
      </c>
      <c r="CC30" s="2">
        <v>0</v>
      </c>
      <c r="CD30" s="2">
        <v>0</v>
      </c>
      <c r="CE30" s="2">
        <v>29.25</v>
      </c>
      <c r="CF30" s="2">
        <v>91.555000000000007</v>
      </c>
      <c r="CG30" s="2">
        <v>106.61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0</v>
      </c>
      <c r="DO30" s="2">
        <v>0</v>
      </c>
      <c r="DP30" s="2">
        <v>0</v>
      </c>
      <c r="DQ30" s="2">
        <v>466.46346840000001</v>
      </c>
      <c r="DR30" s="2">
        <v>113.932980822</v>
      </c>
      <c r="DS30" s="2">
        <v>36.020393914000003</v>
      </c>
      <c r="DT30" s="2">
        <v>113.60788879900001</v>
      </c>
      <c r="DU30" s="2">
        <v>148.15719953500002</v>
      </c>
      <c r="DV30" s="2">
        <v>44.388132403</v>
      </c>
      <c r="DW30" s="2">
        <v>54.231006012999998</v>
      </c>
      <c r="DX30" s="2">
        <v>44.663341686999999</v>
      </c>
      <c r="DY30" s="2">
        <v>50.407442410000002</v>
      </c>
      <c r="DZ30" s="2">
        <v>96.282308876000002</v>
      </c>
      <c r="EA30" s="2">
        <v>38.997282104</v>
      </c>
      <c r="EB30" s="2">
        <v>79.922293685</v>
      </c>
      <c r="EC30" s="2">
        <v>85.66150338700001</v>
      </c>
      <c r="ED30" s="2">
        <v>111.15883294000001</v>
      </c>
      <c r="EE30" s="2">
        <v>20.798126487000001</v>
      </c>
      <c r="EF30" s="2">
        <v>44.889648519000005</v>
      </c>
      <c r="EG30" s="2">
        <v>46.923424769000007</v>
      </c>
      <c r="EH30" s="2">
        <v>435.66509496999998</v>
      </c>
      <c r="EI30" s="2">
        <v>-228.43750460199999</v>
      </c>
      <c r="EJ30" s="2">
        <v>97.613543442999998</v>
      </c>
      <c r="EK30" s="2">
        <v>-42.842094177999996</v>
      </c>
      <c r="EL30" s="2">
        <v>246.335008974</v>
      </c>
      <c r="EM30" s="2">
        <v>-138.87628460099998</v>
      </c>
      <c r="EN30" s="2">
        <v>41.338541886000002</v>
      </c>
      <c r="EO30" s="2">
        <v>17.09327803</v>
      </c>
      <c r="EP30" s="2">
        <v>186.20797299200001</v>
      </c>
      <c r="EQ30" s="2">
        <v>36.115813232999997</v>
      </c>
      <c r="ER30" s="2">
        <v>-73.879100151999992</v>
      </c>
      <c r="ES30" s="2">
        <v>2.0629881489999997</v>
      </c>
      <c r="ET30" s="2">
        <v>491.01591135800004</v>
      </c>
      <c r="EU30" s="2">
        <v>19.910600248000001</v>
      </c>
      <c r="EV30" s="2">
        <v>-177.18293635000001</v>
      </c>
      <c r="EW30" s="2">
        <v>233.71796346900001</v>
      </c>
      <c r="EX30" s="2">
        <v>104.051652275</v>
      </c>
      <c r="EY30" s="2">
        <v>92.338712279000006</v>
      </c>
      <c r="EZ30" s="2">
        <v>242.09184970300001</v>
      </c>
      <c r="FA30" s="2">
        <v>276.808156575</v>
      </c>
      <c r="FB30" s="2">
        <v>232.38614193699999</v>
      </c>
      <c r="FC30" s="2">
        <v>-238.89801901700002</v>
      </c>
      <c r="FD30" s="2">
        <v>40.510664476999999</v>
      </c>
      <c r="FE30" s="2">
        <v>0.86107829300000049</v>
      </c>
      <c r="FF30" s="2">
        <v>78.081160114999989</v>
      </c>
      <c r="FG30" s="2">
        <v>126.42589055100001</v>
      </c>
      <c r="FH30" s="2">
        <v>23.089323701000001</v>
      </c>
      <c r="FI30" s="2">
        <v>606.40411941900004</v>
      </c>
      <c r="FJ30" s="2">
        <v>-171.36121612899998</v>
      </c>
      <c r="FK30" s="2">
        <v>19.575108518</v>
      </c>
      <c r="FL30" s="2">
        <v>127.91896304599999</v>
      </c>
      <c r="FM30" s="2">
        <v>48.996965676000002</v>
      </c>
      <c r="FN30" s="2">
        <v>162.85134850200001</v>
      </c>
      <c r="FO30" s="2">
        <v>158.28039791500001</v>
      </c>
      <c r="FP30" s="2">
        <v>303.110237267</v>
      </c>
      <c r="FQ30" s="2">
        <v>-32.651095445999999</v>
      </c>
      <c r="FR30" s="2">
        <v>-53.926814701000005</v>
      </c>
      <c r="FS30" s="2">
        <v>99.249079743999985</v>
      </c>
      <c r="FT30" s="2">
        <v>92.166523873000003</v>
      </c>
      <c r="FU30" s="2">
        <v>94.911461869000007</v>
      </c>
      <c r="FV30" s="2">
        <v>108.42368992500002</v>
      </c>
      <c r="FW30" s="2">
        <v>81.938060233000002</v>
      </c>
      <c r="FX30" s="2">
        <v>155.5838981</v>
      </c>
      <c r="FY30" s="2">
        <v>74.857247697000005</v>
      </c>
      <c r="FZ30" s="2">
        <v>212.17223223799999</v>
      </c>
      <c r="GA30" s="2">
        <v>138.44496540599999</v>
      </c>
      <c r="GB30" s="22">
        <v>137.45934925399999</v>
      </c>
      <c r="GC30" s="22">
        <v>141.74504888799999</v>
      </c>
      <c r="GD30" s="22">
        <v>168.765892611</v>
      </c>
      <c r="GE30" s="22">
        <v>128.39257415</v>
      </c>
      <c r="GF30" s="22">
        <v>126.00996011299999</v>
      </c>
      <c r="GG30" s="22">
        <v>117.88960717400001</v>
      </c>
      <c r="GH30" s="22">
        <v>116.60361727</v>
      </c>
      <c r="GI30" s="22">
        <v>133.115419366</v>
      </c>
      <c r="GJ30" s="22">
        <v>177.93503632299999</v>
      </c>
      <c r="GK30" s="22">
        <v>146.03441861100001</v>
      </c>
      <c r="GL30" s="23">
        <v>278.26550660700002</v>
      </c>
      <c r="GM30" s="23">
        <v>269.92143954699998</v>
      </c>
      <c r="GN30" s="23">
        <v>141.405686911</v>
      </c>
      <c r="GO30" s="23">
        <v>241.69130142</v>
      </c>
      <c r="GP30" s="23">
        <v>147.30820639199999</v>
      </c>
      <c r="GQ30" s="23">
        <v>138.20568113900001</v>
      </c>
      <c r="GR30" s="23">
        <v>136.13285507099999</v>
      </c>
      <c r="GS30" s="23">
        <v>117.094024979</v>
      </c>
      <c r="GT30" s="23">
        <v>137.44093889300001</v>
      </c>
      <c r="GU30" s="23">
        <v>135.756533045</v>
      </c>
      <c r="GV30" s="23">
        <v>143.92891996699998</v>
      </c>
      <c r="GW30" s="23">
        <v>139.73530526499999</v>
      </c>
      <c r="GX30" s="23">
        <v>133.66387306199999</v>
      </c>
      <c r="GY30" s="23">
        <v>156.944410347</v>
      </c>
      <c r="GZ30" s="23">
        <v>76.656736678999991</v>
      </c>
      <c r="HA30" s="23">
        <v>99.617723335000008</v>
      </c>
      <c r="HB30" s="23">
        <v>99.983757565000005</v>
      </c>
      <c r="HC30" s="23">
        <v>116.22580768899999</v>
      </c>
      <c r="HD30" s="23">
        <v>105.783963324</v>
      </c>
      <c r="HE30" s="23">
        <v>257.034220065</v>
      </c>
      <c r="HF30" s="23"/>
      <c r="HG30" s="23"/>
      <c r="HH30" s="23"/>
      <c r="HI30" s="23"/>
    </row>
    <row r="31" spans="1:217">
      <c r="A31" s="35" t="s">
        <v>69</v>
      </c>
      <c r="B31" s="2">
        <v>8.7013121299999998</v>
      </c>
      <c r="C31" s="2">
        <v>18.621474688000003</v>
      </c>
      <c r="D31" s="2">
        <v>23.275839553999997</v>
      </c>
      <c r="E31" s="2">
        <v>35.143223149000008</v>
      </c>
      <c r="F31" s="2">
        <v>19.382756897</v>
      </c>
      <c r="G31" s="2">
        <v>24.370253326</v>
      </c>
      <c r="H31" s="2">
        <v>24.859875093000003</v>
      </c>
      <c r="I31" s="2">
        <v>22.926335319</v>
      </c>
      <c r="J31" s="2">
        <v>25.095048389999999</v>
      </c>
      <c r="K31" s="2">
        <v>28.340058581000001</v>
      </c>
      <c r="L31" s="2">
        <v>22.762396839000004</v>
      </c>
      <c r="M31" s="2">
        <v>51.425550295000001</v>
      </c>
      <c r="N31" s="2">
        <v>14.943729494999999</v>
      </c>
      <c r="O31" s="2">
        <v>22.302006244000001</v>
      </c>
      <c r="P31" s="2">
        <v>26.968928156999997</v>
      </c>
      <c r="Q31" s="2">
        <v>22.748838809999999</v>
      </c>
      <c r="R31" s="2">
        <v>26.081887543999997</v>
      </c>
      <c r="S31" s="2">
        <v>29.753363990000004</v>
      </c>
      <c r="T31" s="2">
        <v>32.860791219999996</v>
      </c>
      <c r="U31" s="2">
        <v>28.885851594999998</v>
      </c>
      <c r="V31" s="2">
        <v>28.166384040000004</v>
      </c>
      <c r="W31" s="2">
        <v>23.430154392999999</v>
      </c>
      <c r="X31" s="2">
        <v>34.451512211000001</v>
      </c>
      <c r="Y31" s="2">
        <v>48.513696620999994</v>
      </c>
      <c r="Z31" s="2">
        <v>14.631175541999999</v>
      </c>
      <c r="AA31" s="2">
        <v>27.468006984999999</v>
      </c>
      <c r="AB31" s="2">
        <v>28.150971637000001</v>
      </c>
      <c r="AC31" s="2">
        <v>31.803767827000005</v>
      </c>
      <c r="AD31" s="2">
        <v>32.328757834999998</v>
      </c>
      <c r="AE31" s="2">
        <v>24.892968728000003</v>
      </c>
      <c r="AF31" s="2">
        <v>27.451349318000002</v>
      </c>
      <c r="AG31" s="2">
        <v>30.116481403000002</v>
      </c>
      <c r="AH31" s="2">
        <v>34.427788786000008</v>
      </c>
      <c r="AI31" s="2">
        <v>31.226797563000002</v>
      </c>
      <c r="AJ31" s="2">
        <v>29.435744472999996</v>
      </c>
      <c r="AK31" s="2">
        <v>67.277359390000001</v>
      </c>
      <c r="AL31" s="2">
        <v>27.610727147999999</v>
      </c>
      <c r="AM31" s="2">
        <v>27.326799421</v>
      </c>
      <c r="AN31" s="2">
        <v>32.680549057</v>
      </c>
      <c r="AO31" s="2">
        <v>31.683658822999998</v>
      </c>
      <c r="AP31" s="2">
        <v>36.789868260999995</v>
      </c>
      <c r="AQ31" s="2">
        <v>28.147233489999998</v>
      </c>
      <c r="AR31" s="2">
        <v>37.742776333999998</v>
      </c>
      <c r="AS31" s="2">
        <v>37.356873708999998</v>
      </c>
      <c r="AT31" s="2">
        <v>37.441022263999997</v>
      </c>
      <c r="AU31" s="2">
        <v>36.587630992000001</v>
      </c>
      <c r="AV31" s="2">
        <v>28.945565297000002</v>
      </c>
      <c r="AW31" s="2">
        <v>46.166446775000004</v>
      </c>
      <c r="AX31" s="2">
        <v>25.946357948999999</v>
      </c>
      <c r="AY31" s="2">
        <v>29.907490001999999</v>
      </c>
      <c r="AZ31" s="2">
        <v>41.703403933999994</v>
      </c>
      <c r="BA31" s="2">
        <v>29.950572113</v>
      </c>
      <c r="BB31" s="2">
        <v>35.238098563000001</v>
      </c>
      <c r="BC31" s="2">
        <v>29.745498655999999</v>
      </c>
      <c r="BD31" s="2">
        <v>38.860560649999996</v>
      </c>
      <c r="BE31" s="2">
        <v>40.523502092999998</v>
      </c>
      <c r="BF31" s="2">
        <v>36.984569105000006</v>
      </c>
      <c r="BG31" s="2">
        <v>35.709541065000003</v>
      </c>
      <c r="BH31" s="2">
        <v>41.005555909999998</v>
      </c>
      <c r="BI31" s="2">
        <v>44.950872727000004</v>
      </c>
      <c r="BJ31" s="2">
        <v>39.022958072999998</v>
      </c>
      <c r="BK31" s="2">
        <v>40.565265148999998</v>
      </c>
      <c r="BL31" s="2">
        <v>31.993895045999999</v>
      </c>
      <c r="BM31" s="2">
        <v>37.298783215</v>
      </c>
      <c r="BN31" s="2">
        <v>39.99252534</v>
      </c>
      <c r="BO31" s="2">
        <v>38.476550938000003</v>
      </c>
      <c r="BP31" s="2">
        <v>45.003201609999998</v>
      </c>
      <c r="BQ31" s="2">
        <v>45.512403493000008</v>
      </c>
      <c r="BR31" s="2">
        <v>39.275458882000009</v>
      </c>
      <c r="BS31" s="2">
        <v>39.337108061000002</v>
      </c>
      <c r="BT31" s="2">
        <v>32.907992910000004</v>
      </c>
      <c r="BU31" s="2">
        <v>47.352600757000005</v>
      </c>
      <c r="BV31" s="2">
        <v>29.740237365999999</v>
      </c>
      <c r="BW31" s="2">
        <v>37.598763886</v>
      </c>
      <c r="BX31" s="2">
        <v>45.536687605000004</v>
      </c>
      <c r="BY31" s="2">
        <v>36.737768485000004</v>
      </c>
      <c r="BZ31" s="2">
        <v>36.593241434999996</v>
      </c>
      <c r="CA31" s="2">
        <v>38.490001935000002</v>
      </c>
      <c r="CB31" s="2">
        <v>32.360446618999994</v>
      </c>
      <c r="CC31" s="2">
        <v>40.303892123000004</v>
      </c>
      <c r="CD31" s="2">
        <v>37.362384849000001</v>
      </c>
      <c r="CE31" s="2">
        <v>42.497326247000004</v>
      </c>
      <c r="CF31" s="2">
        <v>38.32842389599999</v>
      </c>
      <c r="CG31" s="2">
        <v>57.631292273999989</v>
      </c>
      <c r="CH31" s="2">
        <v>33.418827227999998</v>
      </c>
      <c r="CI31" s="2">
        <v>38.230547369</v>
      </c>
      <c r="CJ31" s="2">
        <v>56.025828982</v>
      </c>
      <c r="CK31" s="2">
        <v>44.055145586000002</v>
      </c>
      <c r="CL31" s="2">
        <v>41.291236111000003</v>
      </c>
      <c r="CM31" s="2">
        <v>53.763712743999996</v>
      </c>
      <c r="CN31" s="2">
        <v>48.318838645</v>
      </c>
      <c r="CO31" s="2">
        <v>41.533859924000005</v>
      </c>
      <c r="CP31" s="2">
        <v>46.661268696</v>
      </c>
      <c r="CQ31" s="2">
        <v>59.22730713</v>
      </c>
      <c r="CR31" s="2">
        <v>53.739201292999994</v>
      </c>
      <c r="CS31" s="2">
        <v>78.252772786000023</v>
      </c>
      <c r="CT31" s="2">
        <v>26.995365533000001</v>
      </c>
      <c r="CU31" s="2">
        <v>33.212607236000004</v>
      </c>
      <c r="CV31" s="2">
        <v>47.091542892000007</v>
      </c>
      <c r="CW31" s="2">
        <v>47.948602937000004</v>
      </c>
      <c r="CX31" s="2">
        <v>64.311193654999997</v>
      </c>
      <c r="CY31" s="2">
        <v>66.521941091000002</v>
      </c>
      <c r="CZ31" s="2">
        <v>33.553041580999995</v>
      </c>
      <c r="DA31" s="2">
        <v>70.096814592999991</v>
      </c>
      <c r="DB31" s="2">
        <v>58.796497654000014</v>
      </c>
      <c r="DC31" s="2">
        <v>52.198333944999995</v>
      </c>
      <c r="DD31" s="2">
        <v>62.186889438999998</v>
      </c>
      <c r="DE31" s="2">
        <v>70.167614827999984</v>
      </c>
      <c r="DF31" s="2">
        <v>55.221589428999998</v>
      </c>
      <c r="DG31" s="2">
        <v>52.972499851999991</v>
      </c>
      <c r="DH31" s="2">
        <v>63.976991044000002</v>
      </c>
      <c r="DI31" s="2">
        <v>54.023550025999995</v>
      </c>
      <c r="DJ31" s="2">
        <v>61.375199847000005</v>
      </c>
      <c r="DK31" s="2">
        <v>47.897953267000005</v>
      </c>
      <c r="DL31" s="2">
        <v>46.119074703999999</v>
      </c>
      <c r="DM31" s="2">
        <v>52.92784721400001</v>
      </c>
      <c r="DN31" s="2">
        <v>79.377117877999993</v>
      </c>
      <c r="DO31" s="2">
        <v>69.567877952000003</v>
      </c>
      <c r="DP31" s="2">
        <v>62.778317350999998</v>
      </c>
      <c r="DQ31" s="2">
        <v>75.261700103999985</v>
      </c>
      <c r="DR31" s="2">
        <v>46.484514556000008</v>
      </c>
      <c r="DS31" s="2">
        <v>49.476061427999994</v>
      </c>
      <c r="DT31" s="2">
        <v>62.237226777000004</v>
      </c>
      <c r="DU31" s="2">
        <v>65.796801602000002</v>
      </c>
      <c r="DV31" s="2">
        <v>62.017126712</v>
      </c>
      <c r="DW31" s="2">
        <v>60.602555252000009</v>
      </c>
      <c r="DX31" s="2">
        <v>66.251670211999993</v>
      </c>
      <c r="DY31" s="2">
        <v>67.843807145</v>
      </c>
      <c r="DZ31" s="2">
        <v>69.708477729999984</v>
      </c>
      <c r="EA31" s="2">
        <v>64.237725841</v>
      </c>
      <c r="EB31" s="2">
        <v>64.682063123999995</v>
      </c>
      <c r="EC31" s="2">
        <v>72.013663139999991</v>
      </c>
      <c r="ED31" s="2">
        <v>58.542906239999994</v>
      </c>
      <c r="EE31" s="2">
        <v>22.432924516999996</v>
      </c>
      <c r="EF31" s="2">
        <v>81.982683153000011</v>
      </c>
      <c r="EG31" s="2">
        <v>81.425715655000005</v>
      </c>
      <c r="EH31" s="2">
        <v>79.006412838999992</v>
      </c>
      <c r="EI31" s="2">
        <v>70.382056244999987</v>
      </c>
      <c r="EJ31" s="2">
        <v>87.061800323999989</v>
      </c>
      <c r="EK31" s="2">
        <v>104.06084575199999</v>
      </c>
      <c r="EL31" s="2">
        <v>81.246871339000009</v>
      </c>
      <c r="EM31" s="2">
        <v>97.654567291999996</v>
      </c>
      <c r="EN31" s="2">
        <v>82.905456491999999</v>
      </c>
      <c r="EO31" s="2">
        <v>113.62349034300001</v>
      </c>
      <c r="EP31" s="2">
        <v>68.424259122999999</v>
      </c>
      <c r="EQ31" s="2">
        <v>113.41688662199999</v>
      </c>
      <c r="ER31" s="2">
        <v>98.820023820000003</v>
      </c>
      <c r="ES31" s="2">
        <v>84.976771783999993</v>
      </c>
      <c r="ET31" s="2">
        <v>77.948792136000009</v>
      </c>
      <c r="EU31" s="2">
        <v>77.706918553000008</v>
      </c>
      <c r="EV31" s="2">
        <v>83.143080906999998</v>
      </c>
      <c r="EW31" s="2">
        <v>89.873537106000001</v>
      </c>
      <c r="EX31" s="2">
        <v>85.035335926999991</v>
      </c>
      <c r="EY31" s="2">
        <v>87.583364137000004</v>
      </c>
      <c r="EZ31" s="2">
        <v>92.899881670999989</v>
      </c>
      <c r="FA31" s="2">
        <v>94.274597363000012</v>
      </c>
      <c r="FB31" s="2">
        <v>74.011032763000017</v>
      </c>
      <c r="FC31" s="2">
        <v>77.145106443000003</v>
      </c>
      <c r="FD31" s="2">
        <v>94.937609291999991</v>
      </c>
      <c r="FE31" s="2">
        <v>91.063131432000006</v>
      </c>
      <c r="FF31" s="2">
        <v>81.986722994000004</v>
      </c>
      <c r="FG31" s="2">
        <v>90.840646996999993</v>
      </c>
      <c r="FH31" s="2">
        <v>82.459131933999998</v>
      </c>
      <c r="FI31" s="2">
        <v>91.23659426399999</v>
      </c>
      <c r="FJ31" s="2">
        <v>95.916804442</v>
      </c>
      <c r="FK31" s="2">
        <v>95.022081790000001</v>
      </c>
      <c r="FL31" s="2">
        <v>105.874083052</v>
      </c>
      <c r="FM31" s="2">
        <v>101.093083979</v>
      </c>
      <c r="FN31" s="2">
        <v>81.505657131000007</v>
      </c>
      <c r="FO31" s="2">
        <v>86.687537375000005</v>
      </c>
      <c r="FP31" s="2">
        <v>111.306872732</v>
      </c>
      <c r="FQ31" s="2">
        <v>72.481038054999999</v>
      </c>
      <c r="FR31" s="2">
        <v>98.822086151999983</v>
      </c>
      <c r="FS31" s="2">
        <v>92.704507827</v>
      </c>
      <c r="FT31" s="2">
        <v>96.975673716999992</v>
      </c>
      <c r="FU31" s="2">
        <v>111.116245937</v>
      </c>
      <c r="FV31" s="2">
        <v>95.364065933000006</v>
      </c>
      <c r="FW31" s="2">
        <v>91.733156346000015</v>
      </c>
      <c r="FX31" s="2">
        <v>100.132405428</v>
      </c>
      <c r="FY31" s="2">
        <v>120.30948061699999</v>
      </c>
      <c r="FZ31" s="2">
        <v>98.275504192</v>
      </c>
      <c r="GA31" s="2">
        <v>88.971293666000008</v>
      </c>
      <c r="GB31" s="22">
        <v>100.07897122699998</v>
      </c>
      <c r="GC31" s="22">
        <v>107.086464217</v>
      </c>
      <c r="GD31" s="22">
        <v>94.065750922000007</v>
      </c>
      <c r="GE31" s="22">
        <v>104.879531607</v>
      </c>
      <c r="GF31" s="22">
        <v>100.19352612200001</v>
      </c>
      <c r="GG31" s="22">
        <v>111.94210905500002</v>
      </c>
      <c r="GH31" s="22">
        <v>102.49565161300002</v>
      </c>
      <c r="GI31" s="22">
        <v>109.465715609</v>
      </c>
      <c r="GJ31" s="22">
        <v>109.365603619</v>
      </c>
      <c r="GK31" s="22">
        <v>100.96591010100001</v>
      </c>
      <c r="GL31" s="23">
        <v>101.618607642</v>
      </c>
      <c r="GM31" s="23">
        <v>92.334051280999986</v>
      </c>
      <c r="GN31" s="23">
        <v>112.067698139</v>
      </c>
      <c r="GO31" s="23">
        <v>104.845221139</v>
      </c>
      <c r="GP31" s="23">
        <v>99.640601537000009</v>
      </c>
      <c r="GQ31" s="23">
        <v>144.45292023400003</v>
      </c>
      <c r="GR31" s="23">
        <v>112.047850783</v>
      </c>
      <c r="GS31" s="23">
        <v>108.69789711399999</v>
      </c>
      <c r="GT31" s="23">
        <v>112.17883986400001</v>
      </c>
      <c r="GU31" s="23">
        <v>110.418478006</v>
      </c>
      <c r="GV31" s="23">
        <v>103.815961456</v>
      </c>
      <c r="GW31" s="23">
        <v>121.23560966699998</v>
      </c>
      <c r="GX31" s="23">
        <v>104.896880426</v>
      </c>
      <c r="GY31" s="23">
        <v>109.848945106</v>
      </c>
      <c r="GZ31" s="23">
        <v>87.111266619000006</v>
      </c>
      <c r="HA31" s="23">
        <v>33.954681915999991</v>
      </c>
      <c r="HB31" s="23">
        <v>48.573646290999996</v>
      </c>
      <c r="HC31" s="23">
        <v>91.833147625000009</v>
      </c>
      <c r="HD31" s="23">
        <v>86.36476741700001</v>
      </c>
      <c r="HE31" s="23">
        <v>72.224874034999999</v>
      </c>
      <c r="HF31" s="23"/>
      <c r="HG31" s="23"/>
      <c r="HH31" s="23"/>
      <c r="HI31" s="23"/>
    </row>
    <row r="32" spans="1:217">
      <c r="A32" s="29" t="s">
        <v>63</v>
      </c>
      <c r="B32" s="2">
        <v>0.27742193399999998</v>
      </c>
      <c r="C32" s="2">
        <v>0.451871731</v>
      </c>
      <c r="D32" s="2">
        <v>0.46353437200000003</v>
      </c>
      <c r="E32" s="2">
        <v>1.362427992</v>
      </c>
      <c r="F32" s="2">
        <v>0.58527611800000001</v>
      </c>
      <c r="G32" s="2">
        <v>0.95402055399999997</v>
      </c>
      <c r="H32" s="2">
        <v>0.48692272200000003</v>
      </c>
      <c r="I32" s="2">
        <v>0.79988213599999991</v>
      </c>
      <c r="J32" s="2">
        <v>1.0941004369999998</v>
      </c>
      <c r="K32" s="2">
        <v>0.113173068</v>
      </c>
      <c r="L32" s="2">
        <v>1.2052912149999999</v>
      </c>
      <c r="M32" s="2">
        <v>1.673481048</v>
      </c>
      <c r="N32" s="2">
        <v>0.15461872600000001</v>
      </c>
      <c r="O32" s="2">
        <v>0.91468932499999989</v>
      </c>
      <c r="P32" s="2">
        <v>1.7238864159999998</v>
      </c>
      <c r="Q32" s="2">
        <v>0.90849250199999998</v>
      </c>
      <c r="R32" s="2">
        <v>1.550439981</v>
      </c>
      <c r="S32" s="2">
        <v>1.3018715539999999</v>
      </c>
      <c r="T32" s="2">
        <v>2.9496377550000004</v>
      </c>
      <c r="U32" s="2">
        <v>2.5421078680000004</v>
      </c>
      <c r="V32" s="2">
        <v>1.643941149</v>
      </c>
      <c r="W32" s="2">
        <v>1.8548892480000001</v>
      </c>
      <c r="X32" s="2">
        <v>3.8266169860000003</v>
      </c>
      <c r="Y32" s="2">
        <v>2.3099335590000001</v>
      </c>
      <c r="Z32" s="2">
        <v>0.42330622900000003</v>
      </c>
      <c r="AA32" s="2">
        <v>2.8587430070000002</v>
      </c>
      <c r="AB32" s="2">
        <v>2.9607587149999999</v>
      </c>
      <c r="AC32" s="2">
        <v>3.146343619</v>
      </c>
      <c r="AD32" s="2">
        <v>1.824432134</v>
      </c>
      <c r="AE32" s="2">
        <v>4.3828882500000006</v>
      </c>
      <c r="AF32" s="2">
        <v>7.5609179770000008</v>
      </c>
      <c r="AG32" s="2">
        <v>3.6129055010000002</v>
      </c>
      <c r="AH32" s="2">
        <v>2.820351279</v>
      </c>
      <c r="AI32" s="2">
        <v>3.1278591650000003</v>
      </c>
      <c r="AJ32" s="2">
        <v>3.7617781849999998</v>
      </c>
      <c r="AK32" s="2">
        <v>4.9352869189999993</v>
      </c>
      <c r="AL32" s="2">
        <v>2.9253303529999997</v>
      </c>
      <c r="AM32" s="2">
        <v>2.7898646219999996</v>
      </c>
      <c r="AN32" s="2">
        <v>3.498342783</v>
      </c>
      <c r="AO32" s="2">
        <v>2.247239757</v>
      </c>
      <c r="AP32" s="2">
        <v>4.7604638780000004</v>
      </c>
      <c r="AQ32" s="2">
        <v>2.3144556820000002</v>
      </c>
      <c r="AR32" s="2">
        <v>3.1764525499999996</v>
      </c>
      <c r="AS32" s="2">
        <v>2.89563668</v>
      </c>
      <c r="AT32" s="2">
        <v>2.2733205060000001</v>
      </c>
      <c r="AU32" s="2">
        <v>1.5877065939999999</v>
      </c>
      <c r="AV32" s="2">
        <v>2.1492190820000001</v>
      </c>
      <c r="AW32" s="2">
        <v>2.2038276190000001</v>
      </c>
      <c r="AX32" s="2">
        <v>1.7692119540000002</v>
      </c>
      <c r="AY32" s="2">
        <v>3.0356248269999999</v>
      </c>
      <c r="AZ32" s="2">
        <v>13.670052848000001</v>
      </c>
      <c r="BA32" s="2">
        <v>3.4526670720000001</v>
      </c>
      <c r="BB32" s="2">
        <v>2.7921497209999999</v>
      </c>
      <c r="BC32" s="2">
        <v>2.8847359639999999</v>
      </c>
      <c r="BD32" s="2">
        <v>13.851983897</v>
      </c>
      <c r="BE32" s="2">
        <v>-6.3563735149999996</v>
      </c>
      <c r="BF32" s="2">
        <v>3.1015921949999998</v>
      </c>
      <c r="BG32" s="2">
        <v>2.3682672509999998</v>
      </c>
      <c r="BH32" s="2">
        <v>4.489911041</v>
      </c>
      <c r="BI32" s="2">
        <v>4.1030528519999994</v>
      </c>
      <c r="BJ32" s="2">
        <v>1.508685007</v>
      </c>
      <c r="BK32" s="2">
        <v>2.4127097659999999</v>
      </c>
      <c r="BL32" s="2">
        <v>6.1433115709999999</v>
      </c>
      <c r="BM32" s="2">
        <v>-3.2999958070000002</v>
      </c>
      <c r="BN32" s="2">
        <v>2.4566859669999999</v>
      </c>
      <c r="BO32" s="2">
        <v>6.3798950720000001</v>
      </c>
      <c r="BP32" s="2">
        <v>1.6051771430000001</v>
      </c>
      <c r="BQ32" s="2">
        <v>2.8899578379999999</v>
      </c>
      <c r="BR32" s="2">
        <v>1.551709292</v>
      </c>
      <c r="BS32" s="2">
        <v>5.0136183420000009</v>
      </c>
      <c r="BT32" s="2">
        <v>1.6412480209999998</v>
      </c>
      <c r="BU32" s="2">
        <v>17.243366884</v>
      </c>
      <c r="BV32" s="2">
        <v>3.87516148</v>
      </c>
      <c r="BW32" s="2">
        <v>37.560947374999998</v>
      </c>
      <c r="BX32" s="2">
        <v>4.1180549089999996</v>
      </c>
      <c r="BY32" s="2">
        <v>17.834723372999999</v>
      </c>
      <c r="BZ32" s="2">
        <v>12.679252083000002</v>
      </c>
      <c r="CA32" s="2">
        <v>3.2905603550000002</v>
      </c>
      <c r="CB32" s="2">
        <v>7.1027631759999998</v>
      </c>
      <c r="CC32" s="2">
        <v>16.737146095</v>
      </c>
      <c r="CD32" s="2">
        <v>4.1108601089999999</v>
      </c>
      <c r="CE32" s="2">
        <v>8.6251098279999994</v>
      </c>
      <c r="CF32" s="2">
        <v>3.4539939889999998</v>
      </c>
      <c r="CG32" s="2">
        <v>2.7094539769999999</v>
      </c>
      <c r="CH32" s="2">
        <v>1.9494445910000002</v>
      </c>
      <c r="CI32" s="2">
        <v>2.2244667540000003</v>
      </c>
      <c r="CJ32" s="2">
        <v>2.6314182869999998</v>
      </c>
      <c r="CK32" s="2">
        <v>2.2615397500000003</v>
      </c>
      <c r="CL32" s="2">
        <v>2.6435908980000002</v>
      </c>
      <c r="CM32" s="2">
        <v>7.845992861</v>
      </c>
      <c r="CN32" s="2">
        <v>4.1490595409999997</v>
      </c>
      <c r="CO32" s="2">
        <v>1.847907792</v>
      </c>
      <c r="CP32" s="2">
        <v>12.674594062000001</v>
      </c>
      <c r="CQ32" s="2">
        <v>2.8934088999999998</v>
      </c>
      <c r="CR32" s="2">
        <v>2.7247677650000002</v>
      </c>
      <c r="CS32" s="2">
        <v>3.9213896309999998</v>
      </c>
      <c r="CT32" s="2">
        <v>1.6186221569999999</v>
      </c>
      <c r="CU32" s="2">
        <v>4.3505825329999999</v>
      </c>
      <c r="CV32" s="2">
        <v>7.6285303389999992</v>
      </c>
      <c r="CW32" s="2">
        <v>2.5480021370000001</v>
      </c>
      <c r="CX32" s="2">
        <v>6.043313071</v>
      </c>
      <c r="CY32" s="2">
        <v>1.6000381619999997</v>
      </c>
      <c r="CZ32" s="2">
        <v>5.724894699</v>
      </c>
      <c r="DA32" s="2">
        <v>-1.2317732609999996</v>
      </c>
      <c r="DB32" s="2">
        <v>9.3437922740000001</v>
      </c>
      <c r="DC32" s="2">
        <v>7.6654465900000002</v>
      </c>
      <c r="DD32" s="2">
        <v>2.5525534160000003</v>
      </c>
      <c r="DE32" s="2">
        <v>5.2993660030000003</v>
      </c>
      <c r="DF32" s="2">
        <v>6.0392784349999999</v>
      </c>
      <c r="DG32" s="2">
        <v>3.955338276</v>
      </c>
      <c r="DH32" s="2">
        <v>1.9313355210000001</v>
      </c>
      <c r="DI32" s="2">
        <v>5.3557841400000008</v>
      </c>
      <c r="DJ32" s="2">
        <v>3.6603384100000005</v>
      </c>
      <c r="DK32" s="2">
        <v>4.4807508190000007</v>
      </c>
      <c r="DL32" s="2">
        <v>6.3935275850000002</v>
      </c>
      <c r="DM32" s="2">
        <v>1.6127430450000002</v>
      </c>
      <c r="DN32" s="2">
        <v>32.681817952000003</v>
      </c>
      <c r="DO32" s="2">
        <v>25.253186109000001</v>
      </c>
      <c r="DP32" s="2">
        <v>6.6292066409999997</v>
      </c>
      <c r="DQ32" s="2">
        <v>5.8243512140000009</v>
      </c>
      <c r="DR32" s="2">
        <v>2.6567406550000001</v>
      </c>
      <c r="DS32" s="2">
        <v>4.0648737339999998</v>
      </c>
      <c r="DT32" s="2">
        <v>0.85177961099999999</v>
      </c>
      <c r="DU32" s="2">
        <v>1.2646140620000001</v>
      </c>
      <c r="DV32" s="2">
        <v>15.631559271</v>
      </c>
      <c r="DW32" s="2">
        <v>3.939649631</v>
      </c>
      <c r="DX32" s="2">
        <v>3.4780022160000001</v>
      </c>
      <c r="DY32" s="2">
        <v>4.4115968460000001</v>
      </c>
      <c r="DZ32" s="2">
        <v>2.4700197319999999</v>
      </c>
      <c r="EA32" s="2">
        <v>2.472480885</v>
      </c>
      <c r="EB32" s="2">
        <v>18.115491202000001</v>
      </c>
      <c r="EC32" s="2">
        <v>1.130135447</v>
      </c>
      <c r="ED32" s="2">
        <v>2.365015445</v>
      </c>
      <c r="EE32" s="2">
        <v>1.575762361</v>
      </c>
      <c r="EF32" s="2">
        <v>15.176800181999999</v>
      </c>
      <c r="EG32" s="2">
        <v>6.5789066109999998</v>
      </c>
      <c r="EH32" s="2">
        <v>8.5515864399999995</v>
      </c>
      <c r="EI32" s="2">
        <v>9.7752502750000012</v>
      </c>
      <c r="EJ32" s="2">
        <v>10.635409849</v>
      </c>
      <c r="EK32" s="2">
        <v>1.8174099019999999</v>
      </c>
      <c r="EL32" s="2">
        <v>-0.45600381500000031</v>
      </c>
      <c r="EM32" s="2">
        <v>5.1189857879999998</v>
      </c>
      <c r="EN32" s="2">
        <v>7.6146690120000002</v>
      </c>
      <c r="EO32" s="2">
        <v>8.8564984189999993</v>
      </c>
      <c r="EP32" s="2">
        <v>1.5616850610000002</v>
      </c>
      <c r="EQ32" s="2">
        <v>4.0874633500000002</v>
      </c>
      <c r="ER32" s="2">
        <v>7.6960333309999998</v>
      </c>
      <c r="ES32" s="2">
        <v>64.407082681000006</v>
      </c>
      <c r="ET32" s="2">
        <v>5.4718008220000005</v>
      </c>
      <c r="EU32" s="2">
        <v>18.267978338999999</v>
      </c>
      <c r="EV32" s="2">
        <v>10.557322758</v>
      </c>
      <c r="EW32" s="2">
        <v>15.944864330999998</v>
      </c>
      <c r="EX32" s="2">
        <v>3.7653158370000002</v>
      </c>
      <c r="EY32" s="2">
        <v>13.232331635000001</v>
      </c>
      <c r="EZ32" s="2">
        <v>12.752479061999999</v>
      </c>
      <c r="FA32" s="2">
        <v>16.164362389000001</v>
      </c>
      <c r="FB32" s="2">
        <v>6.5310873130000004</v>
      </c>
      <c r="FC32" s="2">
        <v>357.28861774899997</v>
      </c>
      <c r="FD32" s="2">
        <v>7.1317947820000001</v>
      </c>
      <c r="FE32" s="2">
        <v>16.145596218000001</v>
      </c>
      <c r="FF32" s="2">
        <v>6.6866371190000002</v>
      </c>
      <c r="FG32" s="2">
        <v>7.6679205650000002</v>
      </c>
      <c r="FH32" s="2">
        <v>-316.29904159699998</v>
      </c>
      <c r="FI32" s="2">
        <v>13.453070013000001</v>
      </c>
      <c r="FJ32" s="2">
        <v>8.3551803180000004</v>
      </c>
      <c r="FK32" s="2">
        <v>13.882175720000001</v>
      </c>
      <c r="FL32" s="2">
        <v>18.617487658000002</v>
      </c>
      <c r="FM32" s="2">
        <v>209.75343208900003</v>
      </c>
      <c r="FN32" s="2">
        <v>8.0937356010000006</v>
      </c>
      <c r="FO32" s="2">
        <v>8.9795541930000002</v>
      </c>
      <c r="FP32" s="2">
        <v>30.844272669999999</v>
      </c>
      <c r="FQ32" s="2">
        <v>6.687240566999999</v>
      </c>
      <c r="FR32" s="2">
        <v>24.472366822000005</v>
      </c>
      <c r="FS32" s="2">
        <v>14.576560560999999</v>
      </c>
      <c r="FT32" s="2">
        <v>34.058390246000002</v>
      </c>
      <c r="FU32" s="2">
        <v>122.320946632</v>
      </c>
      <c r="FV32" s="2">
        <v>33.399932436999997</v>
      </c>
      <c r="FW32" s="2">
        <v>43.877636733999999</v>
      </c>
      <c r="FX32" s="2">
        <v>29.723521929</v>
      </c>
      <c r="FY32" s="2">
        <v>288.87269053299997</v>
      </c>
      <c r="FZ32" s="2">
        <v>7.8211392750000002</v>
      </c>
      <c r="GA32" s="2">
        <v>7.9053611339999996</v>
      </c>
      <c r="GB32" s="22">
        <v>10.999799122999999</v>
      </c>
      <c r="GC32" s="22">
        <v>45.562690171</v>
      </c>
      <c r="GD32" s="22">
        <v>31.225807540000005</v>
      </c>
      <c r="GE32" s="22">
        <v>96.950579309999995</v>
      </c>
      <c r="GF32" s="22">
        <v>44.593888500999995</v>
      </c>
      <c r="GG32" s="22">
        <v>54.116478498999996</v>
      </c>
      <c r="GH32" s="22">
        <v>20.108639165</v>
      </c>
      <c r="GI32" s="22">
        <v>59.538960681999995</v>
      </c>
      <c r="GJ32" s="22">
        <v>40.978611686999997</v>
      </c>
      <c r="GK32" s="22">
        <v>182.50367941999997</v>
      </c>
      <c r="GL32" s="23">
        <v>34.835806511999998</v>
      </c>
      <c r="GM32" s="23">
        <v>10.574268324000002</v>
      </c>
      <c r="GN32" s="23">
        <v>17.861331733999997</v>
      </c>
      <c r="GO32" s="23">
        <v>63.635349646000002</v>
      </c>
      <c r="GP32" s="23">
        <v>55.272942315999998</v>
      </c>
      <c r="GQ32" s="23">
        <v>17.160043061</v>
      </c>
      <c r="GR32" s="23">
        <v>49.036746174000001</v>
      </c>
      <c r="GS32" s="23">
        <v>38.748209645000003</v>
      </c>
      <c r="GT32" s="23">
        <v>20.498387669</v>
      </c>
      <c r="GU32" s="23">
        <v>76.016047346999997</v>
      </c>
      <c r="GV32" s="23">
        <v>38.055865883000003</v>
      </c>
      <c r="GW32" s="23">
        <v>137.79957465699999</v>
      </c>
      <c r="GX32" s="23">
        <v>5.9402027000000004</v>
      </c>
      <c r="GY32" s="23">
        <v>10.351060863000001</v>
      </c>
      <c r="GZ32" s="23">
        <v>530.096121025</v>
      </c>
      <c r="HA32" s="23">
        <v>31.810812172000006</v>
      </c>
      <c r="HB32" s="23">
        <v>38.852298690999994</v>
      </c>
      <c r="HC32" s="23">
        <v>51.26341893</v>
      </c>
      <c r="HD32" s="23">
        <v>62.808032218999998</v>
      </c>
      <c r="HE32" s="23">
        <v>25.017188837999999</v>
      </c>
      <c r="HF32" s="23"/>
      <c r="HG32" s="23"/>
      <c r="HH32" s="23"/>
      <c r="HI32" s="23"/>
    </row>
    <row r="33" spans="1:217" ht="8.25" customHeight="1">
      <c r="A33" s="29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</row>
    <row r="34" spans="1:217" s="22" customFormat="1" ht="14.25">
      <c r="A34" s="36" t="s">
        <v>70</v>
      </c>
      <c r="B34" s="37">
        <v>376.33426336899998</v>
      </c>
      <c r="C34" s="37">
        <v>351.72453450200004</v>
      </c>
      <c r="D34" s="37">
        <v>402.88276834099997</v>
      </c>
      <c r="E34" s="37">
        <v>377.49722816799999</v>
      </c>
      <c r="F34" s="37">
        <v>396.34515204499996</v>
      </c>
      <c r="G34" s="37">
        <v>437.87283001899999</v>
      </c>
      <c r="H34" s="37">
        <v>453.23176298899995</v>
      </c>
      <c r="I34" s="37">
        <v>349.38579560599993</v>
      </c>
      <c r="J34" s="37">
        <v>363.67520497399994</v>
      </c>
      <c r="K34" s="37">
        <v>407.28155276899997</v>
      </c>
      <c r="L34" s="37">
        <v>455.79761105</v>
      </c>
      <c r="M34" s="37">
        <v>812.60362549000001</v>
      </c>
      <c r="N34" s="37">
        <v>329.09690646299998</v>
      </c>
      <c r="O34" s="37">
        <v>387.35418030799991</v>
      </c>
      <c r="P34" s="37">
        <v>413.62045539399998</v>
      </c>
      <c r="Q34" s="37">
        <v>415.15322533699998</v>
      </c>
      <c r="R34" s="37">
        <v>421.6836952729999</v>
      </c>
      <c r="S34" s="37">
        <v>379.68648498600004</v>
      </c>
      <c r="T34" s="37">
        <v>525.65742484999998</v>
      </c>
      <c r="U34" s="37">
        <v>486.15572542599995</v>
      </c>
      <c r="V34" s="37">
        <v>377.43835077399996</v>
      </c>
      <c r="W34" s="37">
        <v>573.60985183000003</v>
      </c>
      <c r="X34" s="37">
        <v>492.84026294199998</v>
      </c>
      <c r="Y34" s="37">
        <v>827.95180206399993</v>
      </c>
      <c r="Z34" s="37">
        <v>387.85617341400007</v>
      </c>
      <c r="AA34" s="37">
        <v>498.15249275700006</v>
      </c>
      <c r="AB34" s="37">
        <v>465.25280682600004</v>
      </c>
      <c r="AC34" s="37">
        <v>537.817794241</v>
      </c>
      <c r="AD34" s="37">
        <v>520.18586401100004</v>
      </c>
      <c r="AE34" s="37">
        <v>520.17984901700004</v>
      </c>
      <c r="AF34" s="37">
        <v>607.78890303100002</v>
      </c>
      <c r="AG34" s="37">
        <v>508.93777265299991</v>
      </c>
      <c r="AH34" s="37">
        <v>535.31118469300009</v>
      </c>
      <c r="AI34" s="37">
        <v>529.98403618000009</v>
      </c>
      <c r="AJ34" s="37">
        <v>598.76987387800011</v>
      </c>
      <c r="AK34" s="37">
        <v>940.22431259599978</v>
      </c>
      <c r="AL34" s="37">
        <v>515.57180654400008</v>
      </c>
      <c r="AM34" s="37">
        <v>485.86119095599992</v>
      </c>
      <c r="AN34" s="37">
        <v>543.31373517099996</v>
      </c>
      <c r="AO34" s="37">
        <v>575.30109036699992</v>
      </c>
      <c r="AP34" s="37">
        <v>614.17783413200004</v>
      </c>
      <c r="AQ34" s="37">
        <v>630.79708450299984</v>
      </c>
      <c r="AR34" s="37">
        <v>638.16059073499991</v>
      </c>
      <c r="AS34" s="37">
        <v>607.162896101</v>
      </c>
      <c r="AT34" s="37">
        <v>619.16008268299993</v>
      </c>
      <c r="AU34" s="37">
        <v>588.03292461300009</v>
      </c>
      <c r="AV34" s="37">
        <v>596.15757882299999</v>
      </c>
      <c r="AW34" s="37">
        <v>1226.9523301750003</v>
      </c>
      <c r="AX34" s="37">
        <v>541.194549585</v>
      </c>
      <c r="AY34" s="37">
        <v>559.20938584600003</v>
      </c>
      <c r="AZ34" s="37">
        <v>630.03162581900006</v>
      </c>
      <c r="BA34" s="37">
        <v>607.116089386</v>
      </c>
      <c r="BB34" s="37">
        <v>653.29624466600001</v>
      </c>
      <c r="BC34" s="37">
        <v>632.41006280599993</v>
      </c>
      <c r="BD34" s="37">
        <v>734.98419702899992</v>
      </c>
      <c r="BE34" s="37">
        <v>675.31589589500004</v>
      </c>
      <c r="BF34" s="37">
        <v>720.44249109400016</v>
      </c>
      <c r="BG34" s="37">
        <v>734.76640464599996</v>
      </c>
      <c r="BH34" s="37">
        <v>779.87495200000012</v>
      </c>
      <c r="BI34" s="37">
        <v>1315.7070580649997</v>
      </c>
      <c r="BJ34" s="37">
        <v>611.14059862300007</v>
      </c>
      <c r="BK34" s="37">
        <v>684.33390082099993</v>
      </c>
      <c r="BL34" s="37">
        <v>847.81760941599998</v>
      </c>
      <c r="BM34" s="37">
        <v>805.66503268400015</v>
      </c>
      <c r="BN34" s="37">
        <v>672.71715304200006</v>
      </c>
      <c r="BO34" s="37">
        <v>736.55129303700005</v>
      </c>
      <c r="BP34" s="37">
        <v>808.80953297700012</v>
      </c>
      <c r="BQ34" s="37">
        <v>683.05188582799997</v>
      </c>
      <c r="BR34" s="37">
        <v>783.54315273199995</v>
      </c>
      <c r="BS34" s="37">
        <v>771.72568192100005</v>
      </c>
      <c r="BT34" s="37">
        <v>822.004882694</v>
      </c>
      <c r="BU34" s="37">
        <v>1452.4623545049999</v>
      </c>
      <c r="BV34" s="37">
        <v>644.78271129300003</v>
      </c>
      <c r="BW34" s="37">
        <v>746.20260054200003</v>
      </c>
      <c r="BX34" s="37">
        <v>911.29042259000005</v>
      </c>
      <c r="BY34" s="37">
        <v>848.02505008599996</v>
      </c>
      <c r="BZ34" s="37">
        <v>909.05867466200004</v>
      </c>
      <c r="CA34" s="37">
        <v>913.70105938599988</v>
      </c>
      <c r="CB34" s="37">
        <v>920.4208200459999</v>
      </c>
      <c r="CC34" s="37">
        <v>912.11059336700009</v>
      </c>
      <c r="CD34" s="37">
        <v>940.13784316400006</v>
      </c>
      <c r="CE34" s="37">
        <v>1015.8569623990001</v>
      </c>
      <c r="CF34" s="37">
        <v>960.81370928300009</v>
      </c>
      <c r="CG34" s="37">
        <v>1986.6967264730001</v>
      </c>
      <c r="CH34" s="37">
        <v>690.51319839999996</v>
      </c>
      <c r="CI34" s="37">
        <v>823.26688017400011</v>
      </c>
      <c r="CJ34" s="37">
        <v>947.86995608400002</v>
      </c>
      <c r="CK34" s="37">
        <v>985.22358603799989</v>
      </c>
      <c r="CL34" s="37">
        <v>905.04170743199995</v>
      </c>
      <c r="CM34" s="37">
        <v>1134.1617800519998</v>
      </c>
      <c r="CN34" s="37">
        <v>947.84010428400029</v>
      </c>
      <c r="CO34" s="37">
        <v>1000.2794962620001</v>
      </c>
      <c r="CP34" s="37">
        <v>999.63427546599985</v>
      </c>
      <c r="CQ34" s="37">
        <v>997.7368778719997</v>
      </c>
      <c r="CR34" s="37">
        <v>1183.2364822680001</v>
      </c>
      <c r="CS34" s="37">
        <v>2109.7191020509999</v>
      </c>
      <c r="CT34" s="37">
        <v>739.44159979100004</v>
      </c>
      <c r="CU34" s="37">
        <v>990.95262965200004</v>
      </c>
      <c r="CV34" s="37">
        <v>1250.5870683670003</v>
      </c>
      <c r="CW34" s="37">
        <v>1192.4454228780003</v>
      </c>
      <c r="CX34" s="37">
        <v>1165.6688305330003</v>
      </c>
      <c r="CY34" s="37">
        <v>1197.5415645380001</v>
      </c>
      <c r="CZ34" s="37">
        <v>1146.1850541479998</v>
      </c>
      <c r="DA34" s="37">
        <v>1339.0682486220001</v>
      </c>
      <c r="DB34" s="37">
        <v>1133.7828547630002</v>
      </c>
      <c r="DC34" s="37">
        <v>1203.3235379509999</v>
      </c>
      <c r="DD34" s="37">
        <v>1302.0841136610002</v>
      </c>
      <c r="DE34" s="37">
        <v>2800.1506920699999</v>
      </c>
      <c r="DF34" s="37">
        <v>945.55378436800004</v>
      </c>
      <c r="DG34" s="37">
        <v>1389.4406080599999</v>
      </c>
      <c r="DH34" s="37">
        <v>1614.1515768740001</v>
      </c>
      <c r="DI34" s="37">
        <v>1593.9241333960001</v>
      </c>
      <c r="DJ34" s="37">
        <v>1593.542871716</v>
      </c>
      <c r="DK34" s="37">
        <v>1469.733598214</v>
      </c>
      <c r="DL34" s="37">
        <v>1595.1021806619999</v>
      </c>
      <c r="DM34" s="37">
        <v>1471.2967148519997</v>
      </c>
      <c r="DN34" s="37">
        <v>1342.1995347699999</v>
      </c>
      <c r="DO34" s="37">
        <v>1580.4766163980003</v>
      </c>
      <c r="DP34" s="37">
        <v>2128.7825355320001</v>
      </c>
      <c r="DQ34" s="37">
        <v>2844.9283115110002</v>
      </c>
      <c r="DR34" s="37">
        <v>1662.4010929680003</v>
      </c>
      <c r="DS34" s="37">
        <v>1720.5790166969996</v>
      </c>
      <c r="DT34" s="37">
        <v>1597.9308943659996</v>
      </c>
      <c r="DU34" s="37">
        <v>1632.174864822</v>
      </c>
      <c r="DV34" s="37">
        <v>1615.4609988479999</v>
      </c>
      <c r="DW34" s="37">
        <v>1458.4768883670001</v>
      </c>
      <c r="DX34" s="37">
        <v>1587.3983171890002</v>
      </c>
      <c r="DY34" s="37">
        <v>1496.6527293269999</v>
      </c>
      <c r="DZ34" s="37">
        <v>1543.4637223269999</v>
      </c>
      <c r="EA34" s="37">
        <v>1527.3508070790001</v>
      </c>
      <c r="EB34" s="37">
        <v>1625.1471948199999</v>
      </c>
      <c r="EC34" s="37">
        <v>3168.2715981939991</v>
      </c>
      <c r="ED34" s="37">
        <v>1351.0469917869998</v>
      </c>
      <c r="EE34" s="37">
        <v>1730.6692180939999</v>
      </c>
      <c r="EF34" s="37">
        <v>1746.2922186570001</v>
      </c>
      <c r="EG34" s="37">
        <v>1674.5142174589998</v>
      </c>
      <c r="EH34" s="37">
        <v>1715.1886391870005</v>
      </c>
      <c r="EI34" s="37">
        <v>2013.6530035140004</v>
      </c>
      <c r="EJ34" s="37">
        <v>1933.2570112699998</v>
      </c>
      <c r="EK34" s="37">
        <v>1822.4246027969996</v>
      </c>
      <c r="EL34" s="37">
        <v>1867.2502377070005</v>
      </c>
      <c r="EM34" s="37">
        <v>1838.2170359380002</v>
      </c>
      <c r="EN34" s="37">
        <v>1956.0839186229998</v>
      </c>
      <c r="EO34" s="37">
        <v>3284.0142716850005</v>
      </c>
      <c r="EP34" s="37">
        <v>1545.886143102</v>
      </c>
      <c r="EQ34" s="37">
        <v>2031.2142501810001</v>
      </c>
      <c r="ER34" s="37">
        <v>1964.8233786620003</v>
      </c>
      <c r="ES34" s="37">
        <v>1937.4762485199997</v>
      </c>
      <c r="ET34" s="37">
        <v>2014.3969675559999</v>
      </c>
      <c r="EU34" s="37">
        <v>2109.3853955309996</v>
      </c>
      <c r="EV34" s="37">
        <v>2270.6238144860008</v>
      </c>
      <c r="EW34" s="37">
        <v>2154.6904558440001</v>
      </c>
      <c r="EX34" s="37">
        <v>2023.0527199800003</v>
      </c>
      <c r="EY34" s="37">
        <v>1936.3398166460001</v>
      </c>
      <c r="EZ34" s="37">
        <v>1905.5470584150003</v>
      </c>
      <c r="FA34" s="37">
        <v>3445.4144045110002</v>
      </c>
      <c r="FB34" s="37">
        <v>1964.4841594950001</v>
      </c>
      <c r="FC34" s="37">
        <v>2220.6561107080001</v>
      </c>
      <c r="FD34" s="37">
        <v>2068.5652801720003</v>
      </c>
      <c r="FE34" s="37">
        <v>1876.1431719349998</v>
      </c>
      <c r="FF34" s="37">
        <v>2089.3681252820002</v>
      </c>
      <c r="FG34" s="37">
        <v>2015.4368392459999</v>
      </c>
      <c r="FH34" s="37">
        <v>2270.6126700519999</v>
      </c>
      <c r="FI34" s="37">
        <v>1973.653601061</v>
      </c>
      <c r="FJ34" s="37">
        <v>2130.8788707849999</v>
      </c>
      <c r="FK34" s="37">
        <v>2114.9638691660002</v>
      </c>
      <c r="FL34" s="37">
        <v>1982.6970439130002</v>
      </c>
      <c r="FM34" s="37">
        <v>3440.3078962249997</v>
      </c>
      <c r="FN34" s="37">
        <v>2223.0136734780008</v>
      </c>
      <c r="FO34" s="37">
        <v>1980.2066483689998</v>
      </c>
      <c r="FP34" s="37">
        <v>2034.908064797</v>
      </c>
      <c r="FQ34" s="37">
        <v>2224.6240156469999</v>
      </c>
      <c r="FR34" s="37">
        <v>2261.7736789279998</v>
      </c>
      <c r="FS34" s="37">
        <v>2195.646197563</v>
      </c>
      <c r="FT34" s="37">
        <v>2260.684922764</v>
      </c>
      <c r="FU34" s="37">
        <v>2333.5462508420001</v>
      </c>
      <c r="FV34" s="37">
        <v>2118.9782032299995</v>
      </c>
      <c r="FW34" s="37">
        <v>2418.2119088379995</v>
      </c>
      <c r="FX34" s="37">
        <v>2275.844721899</v>
      </c>
      <c r="FY34" s="37">
        <v>3817.2365188990007</v>
      </c>
      <c r="FZ34" s="37">
        <v>1855.585828383</v>
      </c>
      <c r="GA34" s="37">
        <v>2680.6870775860002</v>
      </c>
      <c r="GB34" s="22">
        <v>2416.3503523569998</v>
      </c>
      <c r="GC34" s="22">
        <v>2698.0565769049999</v>
      </c>
      <c r="GD34" s="22">
        <v>2360.1503159770004</v>
      </c>
      <c r="GE34" s="22">
        <v>2423.4578774350002</v>
      </c>
      <c r="GF34" s="22">
        <v>2436.9605869739999</v>
      </c>
      <c r="GG34" s="22">
        <v>2408.2771975640003</v>
      </c>
      <c r="GH34" s="22">
        <v>2533.5896542499995</v>
      </c>
      <c r="GI34" s="22">
        <v>2539.8919276819997</v>
      </c>
      <c r="GJ34" s="22">
        <v>2514.5113322080001</v>
      </c>
      <c r="GK34" s="22">
        <v>3955.615517536</v>
      </c>
      <c r="GL34" s="23">
        <v>2240.842461229</v>
      </c>
      <c r="GM34" s="23">
        <v>2638.3481123509996</v>
      </c>
      <c r="GN34" s="23">
        <v>2824.5011105849999</v>
      </c>
      <c r="GO34" s="23">
        <v>2711.9792137320005</v>
      </c>
      <c r="GP34" s="23">
        <v>2898.4335121139993</v>
      </c>
      <c r="GQ34" s="23">
        <v>2389.9573797580001</v>
      </c>
      <c r="GR34" s="23">
        <v>2672.3195816379994</v>
      </c>
      <c r="GS34" s="23">
        <v>2760.295626087001</v>
      </c>
      <c r="GT34" s="23">
        <v>2760.9850354130003</v>
      </c>
      <c r="GU34" s="23">
        <v>2595.1915842649996</v>
      </c>
      <c r="GV34" s="23">
        <v>2642.3624796120002</v>
      </c>
      <c r="GW34" s="23">
        <v>4193.5291582640002</v>
      </c>
      <c r="GX34" s="23">
        <v>2401.9889045110003</v>
      </c>
      <c r="GY34" s="23">
        <v>2714.0074014949996</v>
      </c>
      <c r="GZ34" s="23">
        <v>3219.5600083220002</v>
      </c>
      <c r="HA34" s="23">
        <v>3402.4649257950005</v>
      </c>
      <c r="HB34" s="23">
        <v>2716.8508902850003</v>
      </c>
      <c r="HC34" s="23">
        <v>2799.1066348439995</v>
      </c>
      <c r="HD34" s="23">
        <v>3101.2859436559997</v>
      </c>
      <c r="HE34" s="23">
        <v>3171.1031797069995</v>
      </c>
      <c r="HF34" s="23"/>
      <c r="HG34" s="23"/>
      <c r="HH34" s="23"/>
      <c r="HI34" s="23"/>
    </row>
    <row r="35" spans="1:217" s="43" customFormat="1">
      <c r="A35" s="38" t="s">
        <v>71</v>
      </c>
      <c r="B35" s="39">
        <v>196.165527328</v>
      </c>
      <c r="C35" s="39">
        <v>209.08686356500002</v>
      </c>
      <c r="D35" s="39">
        <v>207.29839046299995</v>
      </c>
      <c r="E35" s="39">
        <v>209.09971150199999</v>
      </c>
      <c r="F35" s="39">
        <v>207.85288039899999</v>
      </c>
      <c r="G35" s="39">
        <v>214.37289807000002</v>
      </c>
      <c r="H35" s="39">
        <v>210.20843784699997</v>
      </c>
      <c r="I35" s="39">
        <v>212.59626599799992</v>
      </c>
      <c r="J35" s="39">
        <v>211.30034427699999</v>
      </c>
      <c r="K35" s="39">
        <v>211.40306225099997</v>
      </c>
      <c r="L35" s="39">
        <v>212.41629911000001</v>
      </c>
      <c r="M35" s="39">
        <v>403.81622412799993</v>
      </c>
      <c r="N35" s="39">
        <v>214.44415955499997</v>
      </c>
      <c r="O35" s="39">
        <v>222.40172229599992</v>
      </c>
      <c r="P35" s="39">
        <v>226.80953409100002</v>
      </c>
      <c r="Q35" s="39">
        <v>226.65420453199999</v>
      </c>
      <c r="R35" s="39">
        <v>226.26211792499996</v>
      </c>
      <c r="S35" s="39">
        <v>229.47921364699999</v>
      </c>
      <c r="T35" s="39">
        <v>227.64042219799998</v>
      </c>
      <c r="U35" s="39">
        <v>225.09277792399999</v>
      </c>
      <c r="V35" s="39">
        <v>225.17960829199995</v>
      </c>
      <c r="W35" s="39">
        <v>232.94101996899997</v>
      </c>
      <c r="X35" s="39">
        <v>250.02988155200006</v>
      </c>
      <c r="Y35" s="39">
        <v>453.92268863099991</v>
      </c>
      <c r="Z35" s="39">
        <v>242.18290240400003</v>
      </c>
      <c r="AA35" s="39">
        <v>252.55279972100004</v>
      </c>
      <c r="AB35" s="39">
        <v>244.73307948800004</v>
      </c>
      <c r="AC35" s="39">
        <v>255.79972799999999</v>
      </c>
      <c r="AD35" s="39">
        <v>250.41379069800001</v>
      </c>
      <c r="AE35" s="39">
        <v>251.49236445800003</v>
      </c>
      <c r="AF35" s="39">
        <v>256.00452846399997</v>
      </c>
      <c r="AG35" s="39">
        <v>249.78751390699995</v>
      </c>
      <c r="AH35" s="39">
        <v>249.40620184500006</v>
      </c>
      <c r="AI35" s="39">
        <v>255.17836459300003</v>
      </c>
      <c r="AJ35" s="39">
        <v>264.86731103600005</v>
      </c>
      <c r="AK35" s="39">
        <v>537.32435833099998</v>
      </c>
      <c r="AL35" s="39">
        <v>287.76957635999997</v>
      </c>
      <c r="AM35" s="39">
        <v>294.79974197499996</v>
      </c>
      <c r="AN35" s="39">
        <v>292.98106416499996</v>
      </c>
      <c r="AO35" s="39">
        <v>290.42064471199996</v>
      </c>
      <c r="AP35" s="39">
        <v>299.715729528</v>
      </c>
      <c r="AQ35" s="39">
        <v>296.29141819099993</v>
      </c>
      <c r="AR35" s="39">
        <v>299.40909122799997</v>
      </c>
      <c r="AS35" s="39">
        <v>310.86348425700004</v>
      </c>
      <c r="AT35" s="39">
        <v>298.97803657600002</v>
      </c>
      <c r="AU35" s="39">
        <v>300.83040805600001</v>
      </c>
      <c r="AV35" s="39">
        <v>307.61396518700002</v>
      </c>
      <c r="AW35" s="39">
        <v>612.80737777599995</v>
      </c>
      <c r="AX35" s="39">
        <v>305.87104220600008</v>
      </c>
      <c r="AY35" s="39">
        <v>332.73173100700001</v>
      </c>
      <c r="AZ35" s="39">
        <v>324.87148293600001</v>
      </c>
      <c r="BA35" s="39">
        <v>335.06648263499994</v>
      </c>
      <c r="BB35" s="39">
        <v>329.97571425000001</v>
      </c>
      <c r="BC35" s="39">
        <v>335.63048746799996</v>
      </c>
      <c r="BD35" s="39">
        <v>334.4819829839999</v>
      </c>
      <c r="BE35" s="39">
        <v>343.65585076900004</v>
      </c>
      <c r="BF35" s="39">
        <v>343.69783445500008</v>
      </c>
      <c r="BG35" s="39">
        <v>352.47150852800002</v>
      </c>
      <c r="BH35" s="39">
        <v>384.75800571799999</v>
      </c>
      <c r="BI35" s="39">
        <v>704.5410623959998</v>
      </c>
      <c r="BJ35" s="39">
        <v>380.89507216900006</v>
      </c>
      <c r="BK35" s="39">
        <v>402.51415779199988</v>
      </c>
      <c r="BL35" s="39">
        <v>404.37226482199992</v>
      </c>
      <c r="BM35" s="39">
        <v>397.92069704800008</v>
      </c>
      <c r="BN35" s="39">
        <v>397.45385965099996</v>
      </c>
      <c r="BO35" s="39">
        <v>406.28248677600004</v>
      </c>
      <c r="BP35" s="39">
        <v>402.00626029400007</v>
      </c>
      <c r="BQ35" s="39">
        <v>400.94736231499996</v>
      </c>
      <c r="BR35" s="39">
        <v>403.27392143999992</v>
      </c>
      <c r="BS35" s="39">
        <v>411.64940448900006</v>
      </c>
      <c r="BT35" s="39">
        <v>426.79484112599999</v>
      </c>
      <c r="BU35" s="39">
        <v>787.60097884300001</v>
      </c>
      <c r="BV35" s="39">
        <v>416.82089053999994</v>
      </c>
      <c r="BW35" s="39">
        <v>442.11215306500003</v>
      </c>
      <c r="BX35" s="39">
        <v>443.01245071200003</v>
      </c>
      <c r="BY35" s="39">
        <v>442.43691625399998</v>
      </c>
      <c r="BZ35" s="39">
        <v>449.631045164</v>
      </c>
      <c r="CA35" s="39">
        <v>454.67008083099989</v>
      </c>
      <c r="CB35" s="39">
        <v>467.98763976699991</v>
      </c>
      <c r="CC35" s="39">
        <v>480.97859321200008</v>
      </c>
      <c r="CD35" s="39">
        <v>484.85936164099996</v>
      </c>
      <c r="CE35" s="39">
        <v>474.99916317000009</v>
      </c>
      <c r="CF35" s="39">
        <v>482.47230833700007</v>
      </c>
      <c r="CG35" s="39">
        <v>979.52930761800008</v>
      </c>
      <c r="CH35" s="39">
        <v>470.73840896199999</v>
      </c>
      <c r="CI35" s="39">
        <v>519.31769039900007</v>
      </c>
      <c r="CJ35" s="39">
        <v>521.03197209100006</v>
      </c>
      <c r="CK35" s="39">
        <v>522.1851666959999</v>
      </c>
      <c r="CL35" s="39">
        <v>518.55041355999992</v>
      </c>
      <c r="CM35" s="39">
        <v>523.99289673199985</v>
      </c>
      <c r="CN35" s="39">
        <v>532.49831833000019</v>
      </c>
      <c r="CO35" s="39">
        <v>520.10379078900007</v>
      </c>
      <c r="CP35" s="39">
        <v>528.77068899400001</v>
      </c>
      <c r="CQ35" s="39">
        <v>533.41336676999981</v>
      </c>
      <c r="CR35" s="39">
        <v>560.48530524100011</v>
      </c>
      <c r="CS35" s="39">
        <v>1097.0644526040001</v>
      </c>
      <c r="CT35" s="39">
        <v>511.05256870099998</v>
      </c>
      <c r="CU35" s="39">
        <v>609.96429822200002</v>
      </c>
      <c r="CV35" s="39">
        <v>610.66420231300015</v>
      </c>
      <c r="CW35" s="39">
        <v>591.90366336500017</v>
      </c>
      <c r="CX35" s="39">
        <v>615.07388026800015</v>
      </c>
      <c r="CY35" s="39">
        <v>620.69462413899998</v>
      </c>
      <c r="CZ35" s="39">
        <v>607.56679482799984</v>
      </c>
      <c r="DA35" s="39">
        <v>604.04202097199993</v>
      </c>
      <c r="DB35" s="39">
        <v>625.24319813900001</v>
      </c>
      <c r="DC35" s="39">
        <v>622.979150506</v>
      </c>
      <c r="DD35" s="39">
        <v>628.32678946800002</v>
      </c>
      <c r="DE35" s="39">
        <v>1268.0133381529997</v>
      </c>
      <c r="DF35" s="39">
        <v>670.22297043799995</v>
      </c>
      <c r="DG35" s="39">
        <v>799.913737631</v>
      </c>
      <c r="DH35" s="39">
        <v>816.96722890099988</v>
      </c>
      <c r="DI35" s="39">
        <v>767.78711854100004</v>
      </c>
      <c r="DJ35" s="39">
        <v>777.05832546699992</v>
      </c>
      <c r="DK35" s="39">
        <v>779.92461174499999</v>
      </c>
      <c r="DL35" s="39">
        <v>807.07644963999996</v>
      </c>
      <c r="DM35" s="39">
        <v>794.10117989299977</v>
      </c>
      <c r="DN35" s="39">
        <v>808.46329931999992</v>
      </c>
      <c r="DO35" s="39">
        <v>825.71445241900017</v>
      </c>
      <c r="DP35" s="39">
        <v>824.09028081700001</v>
      </c>
      <c r="DQ35" s="39">
        <v>1599.2888208320001</v>
      </c>
      <c r="DR35" s="39">
        <v>805.2001420150001</v>
      </c>
      <c r="DS35" s="39">
        <v>877.22726859199975</v>
      </c>
      <c r="DT35" s="39">
        <v>883.37114976499959</v>
      </c>
      <c r="DU35" s="39">
        <v>895.13612115199999</v>
      </c>
      <c r="DV35" s="39">
        <v>866.88023830700001</v>
      </c>
      <c r="DW35" s="39">
        <v>885.539735404</v>
      </c>
      <c r="DX35" s="39">
        <v>878.1643030900002</v>
      </c>
      <c r="DY35" s="39">
        <v>889.2368833349999</v>
      </c>
      <c r="DZ35" s="39">
        <v>901.95537717899981</v>
      </c>
      <c r="EA35" s="39">
        <v>881.066039746</v>
      </c>
      <c r="EB35" s="39">
        <v>891.09194008099996</v>
      </c>
      <c r="EC35" s="39">
        <v>1784.8486057459995</v>
      </c>
      <c r="ED35" s="39">
        <v>857.31783111799996</v>
      </c>
      <c r="EE35" s="39">
        <v>889.49941377499977</v>
      </c>
      <c r="EF35" s="39">
        <v>926.3681228920002</v>
      </c>
      <c r="EG35" s="39">
        <v>933.73381897399997</v>
      </c>
      <c r="EH35" s="39">
        <v>946.44260932800034</v>
      </c>
      <c r="EI35" s="39">
        <v>946.61697093900011</v>
      </c>
      <c r="EJ35" s="39">
        <v>917.12149505799994</v>
      </c>
      <c r="EK35" s="39">
        <v>921.10777238800006</v>
      </c>
      <c r="EL35" s="39">
        <v>972.72347703900027</v>
      </c>
      <c r="EM35" s="39">
        <v>961.14837270400017</v>
      </c>
      <c r="EN35" s="39">
        <v>954.0179912279998</v>
      </c>
      <c r="EO35" s="39">
        <v>1905.0669354610006</v>
      </c>
      <c r="EP35" s="39">
        <v>949.6053593490002</v>
      </c>
      <c r="EQ35" s="39">
        <v>998.131579612</v>
      </c>
      <c r="ER35" s="39">
        <v>1019.0883814860002</v>
      </c>
      <c r="ES35" s="39">
        <v>1016.2826899909996</v>
      </c>
      <c r="ET35" s="39">
        <v>1013.1241966320001</v>
      </c>
      <c r="EU35" s="39">
        <v>1017.6511719879998</v>
      </c>
      <c r="EV35" s="39">
        <v>1008.6017290380003</v>
      </c>
      <c r="EW35" s="39">
        <v>1012.37602474</v>
      </c>
      <c r="EX35" s="39">
        <v>1055.5166236290002</v>
      </c>
      <c r="EY35" s="39">
        <v>1035.4251565890002</v>
      </c>
      <c r="EZ35" s="39">
        <v>1050.0927753690003</v>
      </c>
      <c r="FA35" s="39">
        <v>2017.8795187320004</v>
      </c>
      <c r="FB35" s="40">
        <v>963.42533363900009</v>
      </c>
      <c r="FC35" s="40">
        <v>993.1918995489998</v>
      </c>
      <c r="FD35" s="40">
        <v>1027.3979946739998</v>
      </c>
      <c r="FE35" s="40">
        <v>1018.3175989209999</v>
      </c>
      <c r="FF35" s="40">
        <v>997.34287980200008</v>
      </c>
      <c r="FG35" s="40">
        <v>1055.1315176850001</v>
      </c>
      <c r="FH35" s="40">
        <v>1027.5075199579999</v>
      </c>
      <c r="FI35" s="40">
        <v>1012.276711703</v>
      </c>
      <c r="FJ35" s="40">
        <v>1017.1350831300002</v>
      </c>
      <c r="FK35" s="40">
        <v>1022.4172562060003</v>
      </c>
      <c r="FL35" s="40">
        <v>1023.5518257130002</v>
      </c>
      <c r="FM35" s="40">
        <v>2030.4671985169996</v>
      </c>
      <c r="FN35" s="40">
        <v>985.57412834800039</v>
      </c>
      <c r="FO35" s="40">
        <v>1025.3472695979999</v>
      </c>
      <c r="FP35" s="40">
        <v>1026.9462768000001</v>
      </c>
      <c r="FQ35" s="40">
        <v>1034.5938921279999</v>
      </c>
      <c r="FR35" s="40">
        <v>1026.8568987609999</v>
      </c>
      <c r="FS35" s="40">
        <v>1209.7742202760001</v>
      </c>
      <c r="FT35" s="40">
        <v>1071.2471129459998</v>
      </c>
      <c r="FU35" s="40">
        <v>1070.2568842209998</v>
      </c>
      <c r="FV35" s="40">
        <v>1066.2066960089999</v>
      </c>
      <c r="FW35" s="40">
        <v>1083.2368975149998</v>
      </c>
      <c r="FX35" s="40">
        <v>1135.3721096100001</v>
      </c>
      <c r="FY35" s="40">
        <v>2169.6342742220004</v>
      </c>
      <c r="FZ35" s="40">
        <v>1114.4111813430002</v>
      </c>
      <c r="GA35" s="40">
        <v>1169.8172041560001</v>
      </c>
      <c r="GB35" s="41">
        <v>1160.637706389</v>
      </c>
      <c r="GC35" s="41">
        <v>1170.5611231119999</v>
      </c>
      <c r="GD35" s="41">
        <v>1168.4360066460004</v>
      </c>
      <c r="GE35" s="41">
        <v>1178.2582841400001</v>
      </c>
      <c r="GF35" s="41">
        <v>1188.9290866199999</v>
      </c>
      <c r="GG35" s="41">
        <v>1166.8447207199999</v>
      </c>
      <c r="GH35" s="41">
        <v>1194.5995473919997</v>
      </c>
      <c r="GI35" s="41">
        <v>1172.0341604689997</v>
      </c>
      <c r="GJ35" s="41">
        <v>1198.922447182</v>
      </c>
      <c r="GK35" s="41">
        <v>2344.572490043</v>
      </c>
      <c r="GL35" s="42">
        <v>1164.4454002989999</v>
      </c>
      <c r="GM35" s="42">
        <v>1224.8843770519998</v>
      </c>
      <c r="GN35" s="42">
        <v>1214.317996689</v>
      </c>
      <c r="GO35" s="42">
        <v>1274.8615103020002</v>
      </c>
      <c r="GP35" s="42">
        <v>1287.8192496469997</v>
      </c>
      <c r="GQ35" s="42">
        <v>1278.82134408</v>
      </c>
      <c r="GR35" s="42">
        <v>1283.7560986079995</v>
      </c>
      <c r="GS35" s="42">
        <v>1283.7917131130007</v>
      </c>
      <c r="GT35" s="42">
        <v>1291.6127271380001</v>
      </c>
      <c r="GU35" s="42">
        <v>1298.6621290189998</v>
      </c>
      <c r="GV35" s="42">
        <v>1288.7506404649998</v>
      </c>
      <c r="GW35" s="42">
        <v>2539.8174564010001</v>
      </c>
      <c r="GX35" s="42">
        <v>1256.0337295929999</v>
      </c>
      <c r="GY35" s="42">
        <v>1319.5625471020001</v>
      </c>
      <c r="GZ35" s="42">
        <v>1361.988430805</v>
      </c>
      <c r="HA35" s="42">
        <v>1307.8856560160004</v>
      </c>
      <c r="HB35" s="42">
        <v>1303.6119200159999</v>
      </c>
      <c r="HC35" s="42">
        <v>1338.9477476619998</v>
      </c>
      <c r="HD35" s="42">
        <v>1465.7746304910002</v>
      </c>
      <c r="HE35" s="42">
        <v>1359.5473150699995</v>
      </c>
      <c r="HF35" s="42"/>
      <c r="HG35" s="42"/>
      <c r="HH35" s="42"/>
      <c r="HI35" s="42"/>
    </row>
    <row r="36" spans="1:217" s="43" customFormat="1">
      <c r="A36" s="44" t="s">
        <v>72</v>
      </c>
      <c r="B36" s="45">
        <v>15.416901769000001</v>
      </c>
      <c r="C36" s="45">
        <v>26.839379637</v>
      </c>
      <c r="D36" s="45">
        <v>45.261757400999997</v>
      </c>
      <c r="E36" s="45">
        <v>39.383021779000003</v>
      </c>
      <c r="F36" s="45">
        <v>37.357555803999993</v>
      </c>
      <c r="G36" s="45">
        <v>36.067608192000002</v>
      </c>
      <c r="H36" s="45">
        <v>32.196629092000002</v>
      </c>
      <c r="I36" s="45">
        <v>10.910970483999998</v>
      </c>
      <c r="J36" s="45">
        <v>33.190564526999999</v>
      </c>
      <c r="K36" s="45">
        <v>41.136561287000006</v>
      </c>
      <c r="L36" s="45">
        <v>50.868581559999996</v>
      </c>
      <c r="M36" s="45">
        <v>37.641264285000005</v>
      </c>
      <c r="N36" s="45">
        <v>0.125</v>
      </c>
      <c r="O36" s="45">
        <v>17.219688692999998</v>
      </c>
      <c r="P36" s="45">
        <v>36.045227756999999</v>
      </c>
      <c r="Q36" s="45">
        <v>45.554461945</v>
      </c>
      <c r="R36" s="45">
        <v>39.960529897999997</v>
      </c>
      <c r="S36" s="45">
        <v>34.779924782999998</v>
      </c>
      <c r="T36" s="45">
        <v>30.691938901</v>
      </c>
      <c r="U36" s="45">
        <v>43.371960627</v>
      </c>
      <c r="V36" s="45">
        <v>38.576064043999999</v>
      </c>
      <c r="W36" s="45">
        <v>56.362137978999996</v>
      </c>
      <c r="X36" s="45">
        <v>56.051894949000001</v>
      </c>
      <c r="Y36" s="45">
        <v>54.054819738999996</v>
      </c>
      <c r="Z36" s="45">
        <v>13.169083991999999</v>
      </c>
      <c r="AA36" s="45">
        <v>23.001357398</v>
      </c>
      <c r="AB36" s="45">
        <v>36.024994618000001</v>
      </c>
      <c r="AC36" s="45">
        <v>37.699127971999999</v>
      </c>
      <c r="AD36" s="45">
        <v>67.190202499999998</v>
      </c>
      <c r="AE36" s="45">
        <v>42.949616264000007</v>
      </c>
      <c r="AF36" s="45">
        <v>43.862226305999997</v>
      </c>
      <c r="AG36" s="45">
        <v>41.979238900999995</v>
      </c>
      <c r="AH36" s="45">
        <v>46.454464143999999</v>
      </c>
      <c r="AI36" s="45">
        <v>43.544987912000003</v>
      </c>
      <c r="AJ36" s="45">
        <v>70.704914759999994</v>
      </c>
      <c r="AK36" s="45">
        <v>75.954992739999994</v>
      </c>
      <c r="AL36" s="45">
        <v>8.573030404999999</v>
      </c>
      <c r="AM36" s="45">
        <v>20.606430791999998</v>
      </c>
      <c r="AN36" s="45">
        <v>42.965076180999993</v>
      </c>
      <c r="AO36" s="45">
        <v>46.507480876999992</v>
      </c>
      <c r="AP36" s="45">
        <v>62.459414809999991</v>
      </c>
      <c r="AQ36" s="45">
        <v>70.508413676000004</v>
      </c>
      <c r="AR36" s="45">
        <v>52.351782014000001</v>
      </c>
      <c r="AS36" s="45">
        <v>68.763329337999991</v>
      </c>
      <c r="AT36" s="45">
        <v>59.352472206000009</v>
      </c>
      <c r="AU36" s="45">
        <v>50.629198478000006</v>
      </c>
      <c r="AV36" s="45">
        <v>79.861644753000007</v>
      </c>
      <c r="AW36" s="45">
        <v>101.99053768500001</v>
      </c>
      <c r="AX36" s="45">
        <v>15.634606680999998</v>
      </c>
      <c r="AY36" s="45">
        <v>20.634505357999998</v>
      </c>
      <c r="AZ36" s="45">
        <v>40.511825287999997</v>
      </c>
      <c r="BA36" s="45">
        <v>43.932428104000003</v>
      </c>
      <c r="BB36" s="45">
        <v>53.017305477000001</v>
      </c>
      <c r="BC36" s="45">
        <v>55.157018816000004</v>
      </c>
      <c r="BD36" s="45">
        <v>61.331361361000006</v>
      </c>
      <c r="BE36" s="45">
        <v>45.967062267999999</v>
      </c>
      <c r="BF36" s="45">
        <v>67.604237760999993</v>
      </c>
      <c r="BG36" s="45">
        <v>100.27055261299999</v>
      </c>
      <c r="BH36" s="45">
        <v>106.53506456</v>
      </c>
      <c r="BI36" s="45">
        <v>81.819048534000004</v>
      </c>
      <c r="BJ36" s="45">
        <v>7.254340634000001</v>
      </c>
      <c r="BK36" s="45">
        <v>25.182944811999999</v>
      </c>
      <c r="BL36" s="45">
        <v>65.829090278999999</v>
      </c>
      <c r="BM36" s="45">
        <v>70.889170491999991</v>
      </c>
      <c r="BN36" s="45">
        <v>50.808717177999995</v>
      </c>
      <c r="BO36" s="45">
        <v>47.966850073999993</v>
      </c>
      <c r="BP36" s="45">
        <v>61.002278497999995</v>
      </c>
      <c r="BQ36" s="45">
        <v>45.183987758999997</v>
      </c>
      <c r="BR36" s="45">
        <v>47.240276496</v>
      </c>
      <c r="BS36" s="45">
        <v>71.170952099999994</v>
      </c>
      <c r="BT36" s="45">
        <v>109.16437908199998</v>
      </c>
      <c r="BU36" s="45">
        <v>101.96899973699999</v>
      </c>
      <c r="BV36" s="45">
        <v>4.4804507570000007</v>
      </c>
      <c r="BW36" s="45">
        <v>29.443965044000002</v>
      </c>
      <c r="BX36" s="45">
        <v>63.536006344</v>
      </c>
      <c r="BY36" s="45">
        <v>76.686650916999994</v>
      </c>
      <c r="BZ36" s="45">
        <v>68.592038102999993</v>
      </c>
      <c r="CA36" s="45">
        <v>89.324570213000001</v>
      </c>
      <c r="CB36" s="45">
        <v>106.167863526</v>
      </c>
      <c r="CC36" s="45">
        <v>99.06111487699998</v>
      </c>
      <c r="CD36" s="45">
        <v>86.184747516999991</v>
      </c>
      <c r="CE36" s="45">
        <v>89.822713303</v>
      </c>
      <c r="CF36" s="45">
        <v>105.79067871399999</v>
      </c>
      <c r="CG36" s="45">
        <v>230.24310652999998</v>
      </c>
      <c r="CH36" s="45">
        <v>28.39409624</v>
      </c>
      <c r="CI36" s="45">
        <v>34.717312288999999</v>
      </c>
      <c r="CJ36" s="45">
        <v>77.888768764000005</v>
      </c>
      <c r="CK36" s="45">
        <v>106.02431774000001</v>
      </c>
      <c r="CL36" s="45">
        <v>97.035298397000005</v>
      </c>
      <c r="CM36" s="45">
        <v>101.84653248699999</v>
      </c>
      <c r="CN36" s="45">
        <v>80.456538577000003</v>
      </c>
      <c r="CO36" s="45">
        <v>116.772879749</v>
      </c>
      <c r="CP36" s="45">
        <v>112.44248537499999</v>
      </c>
      <c r="CQ36" s="45">
        <v>135.27421596900001</v>
      </c>
      <c r="CR36" s="45">
        <v>186.56274345200001</v>
      </c>
      <c r="CS36" s="45">
        <v>207.38074734200001</v>
      </c>
      <c r="CT36" s="45">
        <v>6.9822007270000004</v>
      </c>
      <c r="CU36" s="45">
        <v>42.759332592999996</v>
      </c>
      <c r="CV36" s="45">
        <v>117.728462971</v>
      </c>
      <c r="CW36" s="45">
        <v>171.12479491599998</v>
      </c>
      <c r="CX36" s="45">
        <v>130.33887503699998</v>
      </c>
      <c r="CY36" s="45">
        <v>122.97790912399999</v>
      </c>
      <c r="CZ36" s="45">
        <v>108.91443018300001</v>
      </c>
      <c r="DA36" s="45">
        <v>137.51353494500003</v>
      </c>
      <c r="DB36" s="45">
        <v>149.47982017300001</v>
      </c>
      <c r="DC36" s="45">
        <v>145.22273572</v>
      </c>
      <c r="DD36" s="45">
        <v>160.70857615899999</v>
      </c>
      <c r="DE36" s="45">
        <v>349.715068519</v>
      </c>
      <c r="DF36" s="45">
        <v>18.566122175</v>
      </c>
      <c r="DG36" s="45">
        <v>42.795982266999999</v>
      </c>
      <c r="DH36" s="45">
        <v>168.376900949</v>
      </c>
      <c r="DI36" s="45">
        <v>162.93831556500001</v>
      </c>
      <c r="DJ36" s="45">
        <v>164.28639027099999</v>
      </c>
      <c r="DK36" s="45">
        <v>173.23890385000001</v>
      </c>
      <c r="DL36" s="45">
        <v>217.51924783499999</v>
      </c>
      <c r="DM36" s="45">
        <v>132.034248663</v>
      </c>
      <c r="DN36" s="45">
        <v>119.25199327099999</v>
      </c>
      <c r="DO36" s="45">
        <v>141.64831124599999</v>
      </c>
      <c r="DP36" s="45">
        <v>166.61707638800002</v>
      </c>
      <c r="DQ36" s="45">
        <v>264.58728241699998</v>
      </c>
      <c r="DR36" s="45">
        <v>78.322411850999998</v>
      </c>
      <c r="DS36" s="45">
        <v>139.78945850699998</v>
      </c>
      <c r="DT36" s="45">
        <v>116.24090766800002</v>
      </c>
      <c r="DU36" s="45">
        <v>162.548078003</v>
      </c>
      <c r="DV36" s="45">
        <v>162.61636557599999</v>
      </c>
      <c r="DW36" s="45">
        <v>109.69721753100001</v>
      </c>
      <c r="DX36" s="45">
        <v>128.775784953</v>
      </c>
      <c r="DY36" s="45">
        <v>81.914234347000004</v>
      </c>
      <c r="DZ36" s="45">
        <v>73.612581983000013</v>
      </c>
      <c r="EA36" s="45">
        <v>90.404079540000012</v>
      </c>
      <c r="EB36" s="45">
        <v>150.47981871100001</v>
      </c>
      <c r="EC36" s="45">
        <v>238.85608701000001</v>
      </c>
      <c r="ED36" s="45">
        <v>35.938703498999999</v>
      </c>
      <c r="EE36" s="45">
        <v>109.97550691900001</v>
      </c>
      <c r="EF36" s="45">
        <v>137.88706284899999</v>
      </c>
      <c r="EG36" s="45">
        <v>143.11130288999999</v>
      </c>
      <c r="EH36" s="45">
        <v>192.24736449099998</v>
      </c>
      <c r="EI36" s="45">
        <v>179.66862202999999</v>
      </c>
      <c r="EJ36" s="45">
        <v>197.931231733</v>
      </c>
      <c r="EK36" s="45">
        <v>199.67271246199999</v>
      </c>
      <c r="EL36" s="45">
        <v>192.36874973300002</v>
      </c>
      <c r="EM36" s="45">
        <v>206.33094811200002</v>
      </c>
      <c r="EN36" s="45">
        <v>214.35710007699998</v>
      </c>
      <c r="EO36" s="45">
        <v>232.85659586899999</v>
      </c>
      <c r="EP36" s="45">
        <v>97.975579720000013</v>
      </c>
      <c r="EQ36" s="45">
        <v>198.12867802700001</v>
      </c>
      <c r="ER36" s="45">
        <v>191.93758803900002</v>
      </c>
      <c r="ES36" s="45">
        <v>194.34458785799998</v>
      </c>
      <c r="ET36" s="45">
        <v>188.91969810200001</v>
      </c>
      <c r="EU36" s="45">
        <v>189.17546575100002</v>
      </c>
      <c r="EV36" s="45">
        <v>190.09571683999997</v>
      </c>
      <c r="EW36" s="45">
        <v>189.26221580000004</v>
      </c>
      <c r="EX36" s="45">
        <v>214.75227031899999</v>
      </c>
      <c r="EY36" s="45">
        <v>221.56526784900001</v>
      </c>
      <c r="EZ36" s="45">
        <v>178.44320237300002</v>
      </c>
      <c r="FA36" s="45">
        <v>208.79845698099999</v>
      </c>
      <c r="FB36" s="46">
        <v>109.554978343</v>
      </c>
      <c r="FC36" s="46">
        <v>307.56689886499998</v>
      </c>
      <c r="FD36" s="46">
        <v>206.57405407600004</v>
      </c>
      <c r="FE36" s="46">
        <v>177.742523105</v>
      </c>
      <c r="FF36" s="46">
        <v>185.33233860999999</v>
      </c>
      <c r="FG36" s="46">
        <v>188.21906006099999</v>
      </c>
      <c r="FH36" s="46">
        <v>170.836014363</v>
      </c>
      <c r="FI36" s="46">
        <v>183.31216261399999</v>
      </c>
      <c r="FJ36" s="46">
        <v>172.85301700100001</v>
      </c>
      <c r="FK36" s="46">
        <v>178.80301656399999</v>
      </c>
      <c r="FL36" s="46">
        <v>284.24988418500004</v>
      </c>
      <c r="FM36" s="46">
        <v>277.156523101</v>
      </c>
      <c r="FN36" s="46">
        <v>85.198761554000015</v>
      </c>
      <c r="FO36" s="46">
        <v>226.91543230299999</v>
      </c>
      <c r="FP36" s="46">
        <v>235.637568085</v>
      </c>
      <c r="FQ36" s="46">
        <v>191.494050534</v>
      </c>
      <c r="FR36" s="46">
        <v>225.983699726</v>
      </c>
      <c r="FS36" s="46">
        <v>206.29261764499998</v>
      </c>
      <c r="FT36" s="46">
        <v>202.08146829099999</v>
      </c>
      <c r="FU36" s="46">
        <v>222.42819129999998</v>
      </c>
      <c r="FV36" s="46">
        <v>210.57879942899999</v>
      </c>
      <c r="FW36" s="46">
        <v>236.519849411</v>
      </c>
      <c r="FX36" s="46">
        <v>251.48015103200004</v>
      </c>
      <c r="FY36" s="46">
        <v>257.95124125199999</v>
      </c>
      <c r="FZ36" s="46">
        <v>96.853152843000004</v>
      </c>
      <c r="GA36" s="46">
        <v>273.13358728399999</v>
      </c>
      <c r="GB36" s="41">
        <v>277.80653508200004</v>
      </c>
      <c r="GC36" s="41">
        <v>244.39149971800001</v>
      </c>
      <c r="GD36" s="41">
        <v>253.49114426900002</v>
      </c>
      <c r="GE36" s="41">
        <v>258.19869960700004</v>
      </c>
      <c r="GF36" s="41">
        <v>239.31943488000002</v>
      </c>
      <c r="GG36" s="41">
        <v>233.48279082000002</v>
      </c>
      <c r="GH36" s="41">
        <v>243.49376062100001</v>
      </c>
      <c r="GI36" s="41">
        <v>253.82181947399999</v>
      </c>
      <c r="GJ36" s="41">
        <v>257.73335378499996</v>
      </c>
      <c r="GK36" s="41">
        <v>280.06759556100002</v>
      </c>
      <c r="GL36" s="42">
        <v>188.16068268299998</v>
      </c>
      <c r="GM36" s="42">
        <v>276.09282404700002</v>
      </c>
      <c r="GN36" s="42">
        <v>312.67283280999999</v>
      </c>
      <c r="GO36" s="42">
        <v>279.54955463499999</v>
      </c>
      <c r="GP36" s="42">
        <v>306.45443627099996</v>
      </c>
      <c r="GQ36" s="42">
        <v>236.34724309100002</v>
      </c>
      <c r="GR36" s="42">
        <v>243.10188365299999</v>
      </c>
      <c r="GS36" s="42">
        <v>266.166215685</v>
      </c>
      <c r="GT36" s="42">
        <v>250.80199250500002</v>
      </c>
      <c r="GU36" s="42">
        <v>225.98132640699998</v>
      </c>
      <c r="GV36" s="42">
        <v>245.71675677300001</v>
      </c>
      <c r="GW36" s="42">
        <v>288.71015214200003</v>
      </c>
      <c r="GX36" s="42">
        <v>166.35886689699998</v>
      </c>
      <c r="GY36" s="42">
        <v>254.88371343099999</v>
      </c>
      <c r="GZ36" s="42">
        <v>436.858880231</v>
      </c>
      <c r="HA36" s="42">
        <v>270.42160370300002</v>
      </c>
      <c r="HB36" s="42">
        <v>206.04838341699997</v>
      </c>
      <c r="HC36" s="42">
        <v>289.121567793</v>
      </c>
      <c r="HD36" s="42">
        <v>262.99611073599999</v>
      </c>
      <c r="HE36" s="42">
        <v>240.38513293000003</v>
      </c>
      <c r="HF36" s="42"/>
      <c r="HG36" s="42"/>
      <c r="HH36" s="42"/>
      <c r="HI36" s="42"/>
    </row>
    <row r="37" spans="1:217">
      <c r="A37" s="47" t="s">
        <v>73</v>
      </c>
      <c r="B37" s="2">
        <v>5.677142227</v>
      </c>
      <c r="C37" s="2">
        <v>13.862195695</v>
      </c>
      <c r="D37" s="2">
        <v>23.855237765999998</v>
      </c>
      <c r="E37" s="2">
        <v>16.894845456999999</v>
      </c>
      <c r="F37" s="2">
        <v>19.088011409</v>
      </c>
      <c r="G37" s="2">
        <v>16.198062539000002</v>
      </c>
      <c r="H37" s="2">
        <v>16.308342961000001</v>
      </c>
      <c r="I37" s="2">
        <v>4.9901863999999998</v>
      </c>
      <c r="J37" s="2">
        <v>16.234418379000001</v>
      </c>
      <c r="K37" s="2">
        <v>15.974180779000001</v>
      </c>
      <c r="L37" s="2">
        <v>24.925572469999999</v>
      </c>
      <c r="M37" s="2">
        <v>14.906891584</v>
      </c>
      <c r="N37" s="2">
        <v>0</v>
      </c>
      <c r="O37" s="2">
        <v>11.229492483</v>
      </c>
      <c r="P37" s="2">
        <v>13.608606493</v>
      </c>
      <c r="Q37" s="2">
        <v>17.873081705000001</v>
      </c>
      <c r="R37" s="2">
        <v>15.073606459000001</v>
      </c>
      <c r="S37" s="2">
        <v>14.516369844000002</v>
      </c>
      <c r="T37" s="2">
        <v>12.359825535000001</v>
      </c>
      <c r="U37" s="2">
        <v>19.315079046999998</v>
      </c>
      <c r="V37" s="2">
        <v>16.603782869</v>
      </c>
      <c r="W37" s="2">
        <v>25.844795964999999</v>
      </c>
      <c r="X37" s="2">
        <v>25.710271255999999</v>
      </c>
      <c r="Y37" s="2">
        <v>28.039791921999999</v>
      </c>
      <c r="Z37" s="2">
        <v>0.960416771</v>
      </c>
      <c r="AA37" s="2">
        <v>10.777514761000001</v>
      </c>
      <c r="AB37" s="2">
        <v>15.465823679</v>
      </c>
      <c r="AC37" s="2">
        <v>17.118240477000001</v>
      </c>
      <c r="AD37" s="2">
        <v>27.306022153000001</v>
      </c>
      <c r="AE37" s="2">
        <v>18.62832204</v>
      </c>
      <c r="AF37" s="2">
        <v>16.764448375000001</v>
      </c>
      <c r="AG37" s="2">
        <v>15.733971240999999</v>
      </c>
      <c r="AH37" s="2">
        <v>15.153156906</v>
      </c>
      <c r="AI37" s="2">
        <v>17.470927572000001</v>
      </c>
      <c r="AJ37" s="2">
        <v>31.107989870000001</v>
      </c>
      <c r="AK37" s="2">
        <v>33.232412362000005</v>
      </c>
      <c r="AL37" s="2">
        <v>2.7833435880000001</v>
      </c>
      <c r="AM37" s="2">
        <v>10.211068042000001</v>
      </c>
      <c r="AN37" s="2">
        <v>19.012058197999998</v>
      </c>
      <c r="AO37" s="2">
        <v>22.759676159999998</v>
      </c>
      <c r="AP37" s="2">
        <v>21.640302375000001</v>
      </c>
      <c r="AQ37" s="2">
        <v>22.834139819000001</v>
      </c>
      <c r="AR37" s="2">
        <v>21.365301129999999</v>
      </c>
      <c r="AS37" s="2">
        <v>21.945413968</v>
      </c>
      <c r="AT37" s="2">
        <v>21.585015413000001</v>
      </c>
      <c r="AU37" s="2">
        <v>19.795978519000002</v>
      </c>
      <c r="AV37" s="2">
        <v>37.303475817999995</v>
      </c>
      <c r="AW37" s="2">
        <v>42.980294940999997</v>
      </c>
      <c r="AX37" s="2">
        <v>3.7910695839999997</v>
      </c>
      <c r="AY37" s="2">
        <v>7.0008569980000006</v>
      </c>
      <c r="AZ37" s="2">
        <v>15.535446533</v>
      </c>
      <c r="BA37" s="2">
        <v>19.470757462000002</v>
      </c>
      <c r="BB37" s="2">
        <v>28.788660024000002</v>
      </c>
      <c r="BC37" s="2">
        <v>19.292240182</v>
      </c>
      <c r="BD37" s="2">
        <v>23.712734136999998</v>
      </c>
      <c r="BE37" s="2">
        <v>19.661379614000001</v>
      </c>
      <c r="BF37" s="2">
        <v>29.509214393999997</v>
      </c>
      <c r="BG37" s="2">
        <v>27.998026448000001</v>
      </c>
      <c r="BH37" s="2">
        <v>40.021006050000004</v>
      </c>
      <c r="BI37" s="2">
        <v>36.612800333999999</v>
      </c>
      <c r="BJ37" s="2">
        <v>4.303315209</v>
      </c>
      <c r="BK37" s="2">
        <v>11.358007783</v>
      </c>
      <c r="BL37" s="2">
        <v>34.441257852</v>
      </c>
      <c r="BM37" s="2">
        <v>39.306510072999998</v>
      </c>
      <c r="BN37" s="2">
        <v>24.828677043999999</v>
      </c>
      <c r="BO37" s="2">
        <v>23.692740273999998</v>
      </c>
      <c r="BP37" s="2">
        <v>25.192032526999999</v>
      </c>
      <c r="BQ37" s="2">
        <v>17.358613125000002</v>
      </c>
      <c r="BR37" s="2">
        <v>19.237136157000002</v>
      </c>
      <c r="BS37" s="2">
        <v>27.220989678000002</v>
      </c>
      <c r="BT37" s="2">
        <v>44.237606164999995</v>
      </c>
      <c r="BU37" s="2">
        <v>36.953978885999994</v>
      </c>
      <c r="BV37" s="2">
        <v>4.4733692170000001</v>
      </c>
      <c r="BW37" s="2">
        <v>15.585988563000001</v>
      </c>
      <c r="BX37" s="2">
        <v>36.606816271000007</v>
      </c>
      <c r="BY37" s="2">
        <v>28.293064869999998</v>
      </c>
      <c r="BZ37" s="2">
        <v>37.213064528000004</v>
      </c>
      <c r="CA37" s="2">
        <v>41.095593162999997</v>
      </c>
      <c r="CB37" s="2">
        <v>30.369887653999999</v>
      </c>
      <c r="CC37" s="2">
        <v>28.040366821999999</v>
      </c>
      <c r="CD37" s="2">
        <v>27.675289735</v>
      </c>
      <c r="CE37" s="2">
        <v>32.233474369</v>
      </c>
      <c r="CF37" s="2">
        <v>51.218835802000001</v>
      </c>
      <c r="CG37" s="2">
        <v>80.259745617999997</v>
      </c>
      <c r="CH37" s="2">
        <v>6.1940376820000003</v>
      </c>
      <c r="CI37" s="2">
        <v>23.168502926000002</v>
      </c>
      <c r="CJ37" s="2">
        <v>33.501389684999999</v>
      </c>
      <c r="CK37" s="2">
        <v>44.606382625999998</v>
      </c>
      <c r="CL37" s="2">
        <v>42.762422026000003</v>
      </c>
      <c r="CM37" s="2">
        <v>43.894240130999997</v>
      </c>
      <c r="CN37" s="2">
        <v>39.428398781000006</v>
      </c>
      <c r="CO37" s="2">
        <v>43.228662722000003</v>
      </c>
      <c r="CP37" s="2">
        <v>39.322923736999996</v>
      </c>
      <c r="CQ37" s="2">
        <v>65.716261668000001</v>
      </c>
      <c r="CR37" s="2">
        <v>84.661173328999993</v>
      </c>
      <c r="CS37" s="2">
        <v>77.010068622999995</v>
      </c>
      <c r="CT37" s="2">
        <v>6.1751899510000001</v>
      </c>
      <c r="CU37" s="2">
        <v>27.274049702999999</v>
      </c>
      <c r="CV37" s="2">
        <v>59.434823836000007</v>
      </c>
      <c r="CW37" s="2">
        <v>61.695252529999998</v>
      </c>
      <c r="CX37" s="2">
        <v>59.038758072999997</v>
      </c>
      <c r="CY37" s="2">
        <v>51.301209157999999</v>
      </c>
      <c r="CZ37" s="2">
        <v>41.211865728999996</v>
      </c>
      <c r="DA37" s="2">
        <v>55.714903235999998</v>
      </c>
      <c r="DB37" s="2">
        <v>62.724347143999999</v>
      </c>
      <c r="DC37" s="2">
        <v>62.305273702000001</v>
      </c>
      <c r="DD37" s="2">
        <v>67.582016554999996</v>
      </c>
      <c r="DE37" s="2">
        <v>124.338875426</v>
      </c>
      <c r="DF37" s="2">
        <v>17.417571382999999</v>
      </c>
      <c r="DG37" s="2">
        <v>25.775847745</v>
      </c>
      <c r="DH37" s="2">
        <v>82.379850400999999</v>
      </c>
      <c r="DI37" s="2">
        <v>93.162718647000005</v>
      </c>
      <c r="DJ37" s="2">
        <v>72.294157361999993</v>
      </c>
      <c r="DK37" s="2">
        <v>62.095543361999994</v>
      </c>
      <c r="DL37" s="2">
        <v>64.578701375999998</v>
      </c>
      <c r="DM37" s="2">
        <v>49.978622569000002</v>
      </c>
      <c r="DN37" s="2">
        <v>61.264141414999997</v>
      </c>
      <c r="DO37" s="2">
        <v>66.348935909000005</v>
      </c>
      <c r="DP37" s="2">
        <v>85.982226261000008</v>
      </c>
      <c r="DQ37" s="2">
        <v>100.75330947099999</v>
      </c>
      <c r="DR37" s="2">
        <v>41.283928738</v>
      </c>
      <c r="DS37" s="2">
        <v>59.044328551999996</v>
      </c>
      <c r="DT37" s="2">
        <v>46.698573287999999</v>
      </c>
      <c r="DU37" s="2">
        <v>76.46442755599999</v>
      </c>
      <c r="DV37" s="2">
        <v>67.564069333000006</v>
      </c>
      <c r="DW37" s="2">
        <v>56.028307522000006</v>
      </c>
      <c r="DX37" s="2">
        <v>54.786352129000001</v>
      </c>
      <c r="DY37" s="2">
        <v>43.101813302000004</v>
      </c>
      <c r="DZ37" s="2">
        <v>41.278557240000005</v>
      </c>
      <c r="EA37" s="2">
        <v>47.900450669999998</v>
      </c>
      <c r="EB37" s="2">
        <v>69.728647461999998</v>
      </c>
      <c r="EC37" s="2">
        <v>108.647514519</v>
      </c>
      <c r="ED37" s="2">
        <v>15.235465246</v>
      </c>
      <c r="EE37" s="2">
        <v>47.407173827999998</v>
      </c>
      <c r="EF37" s="2">
        <v>76.584369826</v>
      </c>
      <c r="EG37" s="2">
        <v>49.456402028999996</v>
      </c>
      <c r="EH37" s="2">
        <v>80.333990262</v>
      </c>
      <c r="EI37" s="2">
        <v>86.523358479999999</v>
      </c>
      <c r="EJ37" s="2">
        <v>88.921502368000006</v>
      </c>
      <c r="EK37" s="2">
        <v>82.461989392000007</v>
      </c>
      <c r="EL37" s="2">
        <v>79.895530297999997</v>
      </c>
      <c r="EM37" s="2">
        <v>73.988148272000004</v>
      </c>
      <c r="EN37" s="2">
        <v>73.304163218999989</v>
      </c>
      <c r="EO37" s="2">
        <v>120.958252683</v>
      </c>
      <c r="EP37" s="2">
        <v>21.006777985999999</v>
      </c>
      <c r="EQ37" s="2">
        <v>65.935822285</v>
      </c>
      <c r="ER37" s="2">
        <v>90.386381311000008</v>
      </c>
      <c r="ES37" s="2">
        <v>88.091643970999996</v>
      </c>
      <c r="ET37" s="2">
        <v>84.390366259000004</v>
      </c>
      <c r="EU37" s="2">
        <v>86.892299096999992</v>
      </c>
      <c r="EV37" s="2">
        <v>101.33913260899999</v>
      </c>
      <c r="EW37" s="2">
        <v>90.455046679000006</v>
      </c>
      <c r="EX37" s="2">
        <v>107.967225537</v>
      </c>
      <c r="EY37" s="2">
        <v>106.81303324800001</v>
      </c>
      <c r="EZ37" s="2">
        <v>94.740777977000008</v>
      </c>
      <c r="FA37" s="2">
        <v>123.945667703</v>
      </c>
      <c r="FB37" s="2">
        <v>30.102021913000002</v>
      </c>
      <c r="FC37" s="2">
        <v>174.87576087900001</v>
      </c>
      <c r="FD37" s="2">
        <v>95.105004612000002</v>
      </c>
      <c r="FE37" s="2">
        <v>99.562143477999996</v>
      </c>
      <c r="FF37" s="2">
        <v>92.664909541</v>
      </c>
      <c r="FG37" s="2">
        <v>102.989210391</v>
      </c>
      <c r="FH37" s="2">
        <v>89.739623498</v>
      </c>
      <c r="FI37" s="2">
        <v>94.66402282300001</v>
      </c>
      <c r="FJ37" s="2">
        <v>82.963888357000002</v>
      </c>
      <c r="FK37" s="2">
        <v>95.371702454000001</v>
      </c>
      <c r="FL37" s="2">
        <v>217.45400545000001</v>
      </c>
      <c r="FM37" s="2">
        <v>157.24644488500002</v>
      </c>
      <c r="FN37" s="2">
        <v>37.744508535999998</v>
      </c>
      <c r="FO37" s="2">
        <v>97.210461170000002</v>
      </c>
      <c r="FP37" s="2">
        <v>125.109848042</v>
      </c>
      <c r="FQ37" s="2">
        <v>94.343911089000002</v>
      </c>
      <c r="FR37" s="2">
        <v>116.56929065199999</v>
      </c>
      <c r="FS37" s="2">
        <v>101.681209395</v>
      </c>
      <c r="FT37" s="2">
        <v>103.948194954</v>
      </c>
      <c r="FU37" s="2">
        <v>117.698179727</v>
      </c>
      <c r="FV37" s="2">
        <v>118.44670628199999</v>
      </c>
      <c r="FW37" s="2">
        <v>127.29038721000001</v>
      </c>
      <c r="FX37" s="2">
        <v>130.190805662</v>
      </c>
      <c r="FY37" s="2">
        <v>144.369050972</v>
      </c>
      <c r="FZ37" s="2">
        <v>45.217750574</v>
      </c>
      <c r="GA37" s="2">
        <v>102.075095003</v>
      </c>
      <c r="GB37" s="22">
        <v>141.96495962500001</v>
      </c>
      <c r="GC37" s="22">
        <v>144.59998522399999</v>
      </c>
      <c r="GD37" s="22">
        <v>113.46083399300001</v>
      </c>
      <c r="GE37" s="22">
        <v>134.65869334299998</v>
      </c>
      <c r="GF37" s="22">
        <v>131.582085009</v>
      </c>
      <c r="GG37" s="22">
        <v>121.484670651</v>
      </c>
      <c r="GH37" s="22">
        <v>106.53785753999999</v>
      </c>
      <c r="GI37" s="22">
        <v>122.545655728</v>
      </c>
      <c r="GJ37" s="22">
        <v>136.51833892899998</v>
      </c>
      <c r="GK37" s="22">
        <v>152.55497577800003</v>
      </c>
      <c r="GL37" s="23">
        <v>85.064496371000004</v>
      </c>
      <c r="GM37" s="23">
        <v>92.594103610000005</v>
      </c>
      <c r="GN37" s="23">
        <v>145.04090863900001</v>
      </c>
      <c r="GO37" s="23">
        <v>135.643700403</v>
      </c>
      <c r="GP37" s="23">
        <v>122.709900933</v>
      </c>
      <c r="GQ37" s="23">
        <v>111.53243048400002</v>
      </c>
      <c r="GR37" s="23">
        <v>150.383693486</v>
      </c>
      <c r="GS37" s="23">
        <v>139.34448770600002</v>
      </c>
      <c r="GT37" s="23">
        <v>129.003620122</v>
      </c>
      <c r="GU37" s="23">
        <v>122.130456155</v>
      </c>
      <c r="GV37" s="23">
        <v>129.13180979399999</v>
      </c>
      <c r="GW37" s="23">
        <v>159.35214579199999</v>
      </c>
      <c r="GX37" s="23">
        <v>64.925502405999993</v>
      </c>
      <c r="GY37" s="23">
        <v>116.87749467399999</v>
      </c>
      <c r="GZ37" s="23">
        <v>134.11481932699999</v>
      </c>
      <c r="HA37" s="23">
        <v>114.864557185</v>
      </c>
      <c r="HB37" s="23">
        <v>106.129501683</v>
      </c>
      <c r="HC37" s="23">
        <v>119.84267194600001</v>
      </c>
      <c r="HD37" s="23">
        <v>113.317159749</v>
      </c>
      <c r="HE37" s="23">
        <v>100.654232388</v>
      </c>
      <c r="HF37" s="23"/>
      <c r="HG37" s="23"/>
      <c r="HH37" s="23"/>
      <c r="HI37" s="23"/>
    </row>
    <row r="38" spans="1:217">
      <c r="A38" s="47" t="s">
        <v>74</v>
      </c>
      <c r="B38" s="2">
        <v>9.7259175849999995</v>
      </c>
      <c r="C38" s="2">
        <v>12.966614104</v>
      </c>
      <c r="D38" s="2">
        <v>21.14082896</v>
      </c>
      <c r="E38" s="2">
        <v>21.620674373</v>
      </c>
      <c r="F38" s="2">
        <v>17.366197789999998</v>
      </c>
      <c r="G38" s="2">
        <v>19.233874519</v>
      </c>
      <c r="H38" s="2">
        <v>14.878781853</v>
      </c>
      <c r="I38" s="2">
        <v>4.8358134240000004</v>
      </c>
      <c r="J38" s="2">
        <v>15.193483334</v>
      </c>
      <c r="K38" s="2">
        <v>22.189784562</v>
      </c>
      <c r="L38" s="2">
        <v>25.081792424</v>
      </c>
      <c r="M38" s="2">
        <v>19.152639252</v>
      </c>
      <c r="N38" s="2">
        <v>0.125</v>
      </c>
      <c r="O38" s="2">
        <v>5.6059713130000004</v>
      </c>
      <c r="P38" s="2">
        <v>21.377954022999997</v>
      </c>
      <c r="Q38" s="2">
        <v>27.185067102000001</v>
      </c>
      <c r="R38" s="2">
        <v>24.449191132999999</v>
      </c>
      <c r="S38" s="2">
        <v>20.090279775999999</v>
      </c>
      <c r="T38" s="2">
        <v>16.893053225999999</v>
      </c>
      <c r="U38" s="2">
        <v>22.902891097000001</v>
      </c>
      <c r="V38" s="2">
        <v>21.015906407999999</v>
      </c>
      <c r="W38" s="2">
        <v>29.917039053</v>
      </c>
      <c r="X38" s="2">
        <v>29.091290498999999</v>
      </c>
      <c r="Y38" s="2">
        <v>25.221356183000001</v>
      </c>
      <c r="Z38" s="2">
        <v>11.95039667</v>
      </c>
      <c r="AA38" s="2">
        <v>11.433997964</v>
      </c>
      <c r="AB38" s="2">
        <v>19.676637104000001</v>
      </c>
      <c r="AC38" s="2">
        <v>20.413849371000001</v>
      </c>
      <c r="AD38" s="2">
        <v>38.692885995999994</v>
      </c>
      <c r="AE38" s="2">
        <v>23.866878968000002</v>
      </c>
      <c r="AF38" s="2">
        <v>26.827168984</v>
      </c>
      <c r="AG38" s="2">
        <v>25.584990732999998</v>
      </c>
      <c r="AH38" s="2">
        <v>30.393306381999999</v>
      </c>
      <c r="AI38" s="2">
        <v>26.005986512</v>
      </c>
      <c r="AJ38" s="2">
        <v>37.605508145000002</v>
      </c>
      <c r="AK38" s="2">
        <v>42.604967885999997</v>
      </c>
      <c r="AL38" s="2">
        <v>5.7233821850000002</v>
      </c>
      <c r="AM38" s="2">
        <v>10.313456113000001</v>
      </c>
      <c r="AN38" s="2">
        <v>23.804329113000001</v>
      </c>
      <c r="AO38" s="2">
        <v>23.726161988000001</v>
      </c>
      <c r="AP38" s="2">
        <v>39.872867362999997</v>
      </c>
      <c r="AQ38" s="2">
        <v>47.585383897</v>
      </c>
      <c r="AR38" s="2">
        <v>30.890157276</v>
      </c>
      <c r="AS38" s="2">
        <v>46.713209156999994</v>
      </c>
      <c r="AT38" s="2">
        <v>37.471960292000006</v>
      </c>
      <c r="AU38" s="2">
        <v>30.824102623999998</v>
      </c>
      <c r="AV38" s="2">
        <v>42.034338032999997</v>
      </c>
      <c r="AW38" s="2">
        <v>58.333035648999996</v>
      </c>
      <c r="AX38" s="2">
        <v>11.808246950999999</v>
      </c>
      <c r="AY38" s="2">
        <v>13.566538732000001</v>
      </c>
      <c r="AZ38" s="2">
        <v>24.785053431000001</v>
      </c>
      <c r="BA38" s="2">
        <v>24.086609511999999</v>
      </c>
      <c r="BB38" s="2">
        <v>23.772479454999999</v>
      </c>
      <c r="BC38" s="2">
        <v>35.629981159000003</v>
      </c>
      <c r="BD38" s="2">
        <v>37.584937982</v>
      </c>
      <c r="BE38" s="2">
        <v>26.099056536999999</v>
      </c>
      <c r="BF38" s="2">
        <v>38.069941594000007</v>
      </c>
      <c r="BG38" s="2">
        <v>71.914979861999996</v>
      </c>
      <c r="BH38" s="2">
        <v>66.348281525000004</v>
      </c>
      <c r="BI38" s="2">
        <v>45.202920376000002</v>
      </c>
      <c r="BJ38" s="2">
        <v>2.9295636030000001</v>
      </c>
      <c r="BK38" s="2">
        <v>13.779082039999999</v>
      </c>
      <c r="BL38" s="2">
        <v>31.248312045999999</v>
      </c>
      <c r="BM38" s="2">
        <v>29.99014734</v>
      </c>
      <c r="BN38" s="2">
        <v>25.968814429999998</v>
      </c>
      <c r="BO38" s="2">
        <v>24.198598868000001</v>
      </c>
      <c r="BP38" s="2">
        <v>35.805489185999996</v>
      </c>
      <c r="BQ38" s="2">
        <v>27.816941099000001</v>
      </c>
      <c r="BR38" s="2">
        <v>27.517388158999999</v>
      </c>
      <c r="BS38" s="2">
        <v>42.993321819999998</v>
      </c>
      <c r="BT38" s="2">
        <v>64.688080564999993</v>
      </c>
      <c r="BU38" s="2">
        <v>65.008116556000004</v>
      </c>
      <c r="BV38" s="2">
        <v>0</v>
      </c>
      <c r="BW38" s="2">
        <v>13.786137075000001</v>
      </c>
      <c r="BX38" s="2">
        <v>26.559120101000001</v>
      </c>
      <c r="BY38" s="2">
        <v>46.19990181</v>
      </c>
      <c r="BZ38" s="2">
        <v>31.005107081999999</v>
      </c>
      <c r="CA38" s="2">
        <v>47.763862177</v>
      </c>
      <c r="CB38" s="2">
        <v>75.786226047</v>
      </c>
      <c r="CC38" s="2">
        <v>70.444846419000001</v>
      </c>
      <c r="CD38" s="2">
        <v>57.290323797999996</v>
      </c>
      <c r="CE38" s="2">
        <v>56.665420910000002</v>
      </c>
      <c r="CF38" s="2">
        <v>53.605573348999997</v>
      </c>
      <c r="CG38" s="2">
        <v>148.725648482</v>
      </c>
      <c r="CH38" s="2">
        <v>22.195866819999999</v>
      </c>
      <c r="CI38" s="2">
        <v>11.42455681</v>
      </c>
      <c r="CJ38" s="2">
        <v>43.815031776000005</v>
      </c>
      <c r="CK38" s="2">
        <v>60.012223026999997</v>
      </c>
      <c r="CL38" s="2">
        <v>53.224859909999999</v>
      </c>
      <c r="CM38" s="2">
        <v>57.932402930999999</v>
      </c>
      <c r="CN38" s="2">
        <v>41.020052780999997</v>
      </c>
      <c r="CO38" s="2">
        <v>73.487559321999996</v>
      </c>
      <c r="CP38" s="2">
        <v>72.819005124</v>
      </c>
      <c r="CQ38" s="2">
        <v>68.396153999999996</v>
      </c>
      <c r="CR38" s="2">
        <v>100.761785066</v>
      </c>
      <c r="CS38" s="2">
        <v>129.49589515700001</v>
      </c>
      <c r="CT38" s="2">
        <v>0.80684851600000007</v>
      </c>
      <c r="CU38" s="2">
        <v>15.409746229</v>
      </c>
      <c r="CV38" s="2">
        <v>57.638878788</v>
      </c>
      <c r="CW38" s="2">
        <v>107.99223216899999</v>
      </c>
      <c r="CX38" s="2">
        <v>71.007005265000004</v>
      </c>
      <c r="CY38" s="2">
        <v>71.431591557999994</v>
      </c>
      <c r="CZ38" s="2">
        <v>67.690643639000001</v>
      </c>
      <c r="DA38" s="2">
        <v>81.331983758999996</v>
      </c>
      <c r="DB38" s="2">
        <v>85.776256070000002</v>
      </c>
      <c r="DC38" s="2">
        <v>82.887595804</v>
      </c>
      <c r="DD38" s="2">
        <v>92.964188445999994</v>
      </c>
      <c r="DE38" s="2">
        <v>225.19950026999999</v>
      </c>
      <c r="DF38" s="2">
        <v>1.1416756299999999</v>
      </c>
      <c r="DG38" s="2">
        <v>16.739328280999999</v>
      </c>
      <c r="DH38" s="2">
        <v>85.190872951000003</v>
      </c>
      <c r="DI38" s="2">
        <v>69.379630143999989</v>
      </c>
      <c r="DJ38" s="2">
        <v>91.928734147</v>
      </c>
      <c r="DK38" s="2">
        <v>111.047091878</v>
      </c>
      <c r="DL38" s="2">
        <v>152.93669692899999</v>
      </c>
      <c r="DM38" s="2">
        <v>81.79387715</v>
      </c>
      <c r="DN38" s="2">
        <v>57.160642475000003</v>
      </c>
      <c r="DO38" s="2">
        <v>75.258884070999997</v>
      </c>
      <c r="DP38" s="2">
        <v>80.160430915999996</v>
      </c>
      <c r="DQ38" s="2">
        <v>162.61023157</v>
      </c>
      <c r="DR38" s="2">
        <v>37.038191212999998</v>
      </c>
      <c r="DS38" s="2">
        <v>62.369749402000004</v>
      </c>
      <c r="DT38" s="2">
        <v>20.318049079000001</v>
      </c>
      <c r="DU38" s="2">
        <v>85.399742219999993</v>
      </c>
      <c r="DV38" s="2">
        <v>93.418825455000004</v>
      </c>
      <c r="DW38" s="2">
        <v>53.337021252999996</v>
      </c>
      <c r="DX38" s="2">
        <v>73.871893557999996</v>
      </c>
      <c r="DY38" s="2">
        <v>38.780238702000005</v>
      </c>
      <c r="DZ38" s="2">
        <v>32.119255592999998</v>
      </c>
      <c r="EA38" s="2">
        <v>41.033465898999999</v>
      </c>
      <c r="EB38" s="2">
        <v>76.638348559999997</v>
      </c>
      <c r="EC38" s="2">
        <v>129.63784924199999</v>
      </c>
      <c r="ED38" s="2">
        <v>0.99648471500000002</v>
      </c>
      <c r="EE38" s="2">
        <v>23.203945974</v>
      </c>
      <c r="EF38" s="2">
        <v>60.891950814999994</v>
      </c>
      <c r="EG38" s="2">
        <v>93.118218759000001</v>
      </c>
      <c r="EH38" s="2">
        <v>106.585237459</v>
      </c>
      <c r="EI38" s="2">
        <v>93.139217807999998</v>
      </c>
      <c r="EJ38" s="2">
        <v>109.002136476</v>
      </c>
      <c r="EK38" s="2">
        <v>117.171733473</v>
      </c>
      <c r="EL38" s="2">
        <v>106.106850812</v>
      </c>
      <c r="EM38" s="2">
        <v>130.89119298599999</v>
      </c>
      <c r="EN38" s="2">
        <v>140.29232003800001</v>
      </c>
      <c r="EO38" s="2">
        <v>106.462145745</v>
      </c>
      <c r="EP38" s="2">
        <v>54.320161199000005</v>
      </c>
      <c r="EQ38" s="2">
        <v>89.060751511999996</v>
      </c>
      <c r="ER38" s="2">
        <v>100.979229343</v>
      </c>
      <c r="ES38" s="2">
        <v>103.507179083</v>
      </c>
      <c r="ET38" s="2">
        <v>102.446493518</v>
      </c>
      <c r="EU38" s="2">
        <v>100.86930743699999</v>
      </c>
      <c r="EV38" s="2">
        <v>88.738410665999993</v>
      </c>
      <c r="EW38" s="2">
        <v>98.646356045999994</v>
      </c>
      <c r="EX38" s="2">
        <v>106.610182346</v>
      </c>
      <c r="EY38" s="2">
        <v>113.634230382</v>
      </c>
      <c r="EZ38" s="2">
        <v>79.040545784000003</v>
      </c>
      <c r="FA38" s="2">
        <v>83.035679688999991</v>
      </c>
      <c r="FB38" s="2">
        <v>56.194014714999994</v>
      </c>
      <c r="FC38" s="2">
        <v>89.610840336999999</v>
      </c>
      <c r="FD38" s="2">
        <v>106.07309948400001</v>
      </c>
      <c r="FE38" s="2">
        <v>76.004419628000008</v>
      </c>
      <c r="FF38" s="2">
        <v>86.345784211000009</v>
      </c>
      <c r="FG38" s="2">
        <v>80.269755309999994</v>
      </c>
      <c r="FH38" s="2">
        <v>81.091485555999995</v>
      </c>
      <c r="FI38" s="2">
        <v>84.091233895000002</v>
      </c>
      <c r="FJ38" s="2">
        <v>86.81841137699999</v>
      </c>
      <c r="FK38" s="2">
        <v>77.216924926999994</v>
      </c>
      <c r="FL38" s="2">
        <v>65.362528447000003</v>
      </c>
      <c r="FM38" s="2">
        <v>115.924709162</v>
      </c>
      <c r="FN38" s="2">
        <v>24.241783305000002</v>
      </c>
      <c r="FO38" s="2">
        <v>84.331769210000004</v>
      </c>
      <c r="FP38" s="2">
        <v>105.88552625500002</v>
      </c>
      <c r="FQ38" s="2">
        <v>93.634254587000001</v>
      </c>
      <c r="FR38" s="2">
        <v>103.771924422</v>
      </c>
      <c r="FS38" s="2">
        <v>101.25327944199999</v>
      </c>
      <c r="FT38" s="2">
        <v>98.119231217999996</v>
      </c>
      <c r="FU38" s="2">
        <v>99.345713736000008</v>
      </c>
      <c r="FV38" s="2">
        <v>88.704752123999995</v>
      </c>
      <c r="FW38" s="2">
        <v>107.23281679900001</v>
      </c>
      <c r="FX38" s="2">
        <v>115.99181487700001</v>
      </c>
      <c r="FY38" s="2">
        <v>108.92549191100001</v>
      </c>
      <c r="FZ38" s="2">
        <v>51.635206141000005</v>
      </c>
      <c r="GA38" s="2">
        <v>93.272431372</v>
      </c>
      <c r="GB38" s="22">
        <v>132.09280524800002</v>
      </c>
      <c r="GC38" s="22">
        <v>95.765163803999997</v>
      </c>
      <c r="GD38" s="22">
        <v>133.72852736000002</v>
      </c>
      <c r="GE38" s="22">
        <v>122.80826733500001</v>
      </c>
      <c r="GF38" s="22">
        <v>107.73351404</v>
      </c>
      <c r="GG38" s="22">
        <v>111.99533373899999</v>
      </c>
      <c r="GH38" s="22">
        <v>130.09956642399999</v>
      </c>
      <c r="GI38" s="22">
        <v>126.85731092899999</v>
      </c>
      <c r="GJ38" s="22">
        <v>112.72582714399998</v>
      </c>
      <c r="GK38" s="22">
        <v>123.84926640099999</v>
      </c>
      <c r="GL38" s="23">
        <v>103.09470128499999</v>
      </c>
      <c r="GM38" s="23">
        <v>101.8416462</v>
      </c>
      <c r="GN38" s="23">
        <v>154.254873659</v>
      </c>
      <c r="GO38" s="23">
        <v>142.47504602900003</v>
      </c>
      <c r="GP38" s="23">
        <v>169.89885860300001</v>
      </c>
      <c r="GQ38" s="23">
        <v>124.18277051799998</v>
      </c>
      <c r="GR38" s="23">
        <v>92.715721918</v>
      </c>
      <c r="GS38" s="23">
        <v>126.23654692699999</v>
      </c>
      <c r="GT38" s="23">
        <v>100.229670501</v>
      </c>
      <c r="GU38" s="23">
        <v>102.506791054</v>
      </c>
      <c r="GV38" s="23">
        <v>110.640630917</v>
      </c>
      <c r="GW38" s="23">
        <v>125.862927762</v>
      </c>
      <c r="GX38" s="23">
        <v>101.43322746299999</v>
      </c>
      <c r="GY38" s="23">
        <v>137.48066770299999</v>
      </c>
      <c r="GZ38" s="23">
        <v>187.87776898799999</v>
      </c>
      <c r="HA38" s="23">
        <v>154.39507392600001</v>
      </c>
      <c r="HB38" s="23">
        <v>82.338585323000004</v>
      </c>
      <c r="HC38" s="23">
        <v>168.785658896</v>
      </c>
      <c r="HD38" s="23">
        <v>149.67774110400001</v>
      </c>
      <c r="HE38" s="23">
        <v>139.38262050599999</v>
      </c>
      <c r="HF38" s="23"/>
      <c r="HG38" s="23"/>
      <c r="HH38" s="23"/>
      <c r="HI38" s="23"/>
    </row>
    <row r="39" spans="1:217">
      <c r="A39" s="47" t="s">
        <v>44</v>
      </c>
      <c r="B39" s="2">
        <v>1.3841957E-2</v>
      </c>
      <c r="C39" s="2">
        <v>1.0569838000000002E-2</v>
      </c>
      <c r="D39" s="2">
        <v>0.26569067499999999</v>
      </c>
      <c r="E39" s="2">
        <v>0.86750194899999999</v>
      </c>
      <c r="F39" s="2">
        <v>0.90334660499999997</v>
      </c>
      <c r="G39" s="2">
        <v>0.63567113400000008</v>
      </c>
      <c r="H39" s="2">
        <v>1.0095042780000001</v>
      </c>
      <c r="I39" s="2">
        <v>1.08497066</v>
      </c>
      <c r="J39" s="2">
        <v>1.762662814</v>
      </c>
      <c r="K39" s="2">
        <v>2.9725959459999998</v>
      </c>
      <c r="L39" s="2">
        <v>0.86121666600000002</v>
      </c>
      <c r="M39" s="2">
        <v>3.5817334489999997</v>
      </c>
      <c r="N39" s="2">
        <v>0</v>
      </c>
      <c r="O39" s="2">
        <v>0.38422489700000001</v>
      </c>
      <c r="P39" s="2">
        <v>1.0586672410000002</v>
      </c>
      <c r="Q39" s="2">
        <v>0.49631313799999999</v>
      </c>
      <c r="R39" s="2">
        <v>0.43773230600000002</v>
      </c>
      <c r="S39" s="2">
        <v>0.17327516299999998</v>
      </c>
      <c r="T39" s="2">
        <v>1.43906014</v>
      </c>
      <c r="U39" s="2">
        <v>1.1539904830000001</v>
      </c>
      <c r="V39" s="2">
        <v>0.95637476700000001</v>
      </c>
      <c r="W39" s="2">
        <v>0.60030296100000002</v>
      </c>
      <c r="X39" s="2">
        <v>1.250333194</v>
      </c>
      <c r="Y39" s="2">
        <v>0.79367163400000007</v>
      </c>
      <c r="Z39" s="2">
        <v>0.25827055100000001</v>
      </c>
      <c r="AA39" s="2">
        <v>0.78984467299999994</v>
      </c>
      <c r="AB39" s="2">
        <v>0.88253383499999993</v>
      </c>
      <c r="AC39" s="2">
        <v>0.16703812400000001</v>
      </c>
      <c r="AD39" s="2">
        <v>1.191294351</v>
      </c>
      <c r="AE39" s="2">
        <v>0.45441525599999999</v>
      </c>
      <c r="AF39" s="2">
        <v>0.27060894699999999</v>
      </c>
      <c r="AG39" s="2">
        <v>0.66027692699999996</v>
      </c>
      <c r="AH39" s="2">
        <v>0.90800085600000002</v>
      </c>
      <c r="AI39" s="2">
        <v>6.8073828000000003E-2</v>
      </c>
      <c r="AJ39" s="2">
        <v>1.991416745</v>
      </c>
      <c r="AK39" s="2">
        <v>0.117612492</v>
      </c>
      <c r="AL39" s="2">
        <v>6.6304632000000002E-2</v>
      </c>
      <c r="AM39" s="2">
        <v>8.1906637000000004E-2</v>
      </c>
      <c r="AN39" s="2">
        <v>0.14868887</v>
      </c>
      <c r="AO39" s="2">
        <v>2.1642728999999999E-2</v>
      </c>
      <c r="AP39" s="2">
        <v>0.94624507200000008</v>
      </c>
      <c r="AQ39" s="2">
        <v>8.8889960000000004E-2</v>
      </c>
      <c r="AR39" s="2">
        <v>9.6323607999999991E-2</v>
      </c>
      <c r="AS39" s="2">
        <v>0.10470621300000001</v>
      </c>
      <c r="AT39" s="2">
        <v>0.29549650100000002</v>
      </c>
      <c r="AU39" s="2">
        <v>9.1173350000000007E-3</v>
      </c>
      <c r="AV39" s="2">
        <v>0.52383090200000004</v>
      </c>
      <c r="AW39" s="2">
        <v>0.67720709499999998</v>
      </c>
      <c r="AX39" s="2">
        <v>3.5290146000000001E-2</v>
      </c>
      <c r="AY39" s="2">
        <v>6.7109628000000004E-2</v>
      </c>
      <c r="AZ39" s="2">
        <v>0.19132532399999999</v>
      </c>
      <c r="BA39" s="2">
        <v>0.37506112999999996</v>
      </c>
      <c r="BB39" s="2">
        <v>0.45616599800000002</v>
      </c>
      <c r="BC39" s="2">
        <v>0.23479747499999998</v>
      </c>
      <c r="BD39" s="2">
        <v>3.3689242000000001E-2</v>
      </c>
      <c r="BE39" s="2">
        <v>0.206626117</v>
      </c>
      <c r="BF39" s="2">
        <v>2.5081772999999998E-2</v>
      </c>
      <c r="BG39" s="2">
        <v>0.35754630300000001</v>
      </c>
      <c r="BH39" s="2">
        <v>0.16577698499999999</v>
      </c>
      <c r="BI39" s="2">
        <v>3.3278240000000001E-3</v>
      </c>
      <c r="BJ39" s="2">
        <v>2.1461822000000002E-2</v>
      </c>
      <c r="BK39" s="2">
        <v>4.5854989000000006E-2</v>
      </c>
      <c r="BL39" s="2">
        <v>0.139520381</v>
      </c>
      <c r="BM39" s="2">
        <v>1.5925130790000002</v>
      </c>
      <c r="BN39" s="2">
        <v>1.1225704E-2</v>
      </c>
      <c r="BO39" s="2">
        <v>7.5510932000000003E-2</v>
      </c>
      <c r="BP39" s="2">
        <v>4.7567849999999995E-3</v>
      </c>
      <c r="BQ39" s="2">
        <v>8.4335349999999989E-3</v>
      </c>
      <c r="BR39" s="2">
        <v>0.48575218000000003</v>
      </c>
      <c r="BS39" s="2">
        <v>0.9566406019999999</v>
      </c>
      <c r="BT39" s="2">
        <v>0.238692352</v>
      </c>
      <c r="BU39" s="2">
        <v>6.9042950000000004E-3</v>
      </c>
      <c r="BV39" s="2">
        <v>7.0815400000000008E-3</v>
      </c>
      <c r="BW39" s="2">
        <v>7.1839405999999995E-2</v>
      </c>
      <c r="BX39" s="2">
        <v>0.37006997200000002</v>
      </c>
      <c r="BY39" s="2">
        <v>2.1936842369999998</v>
      </c>
      <c r="BZ39" s="2">
        <v>0.37386649299999997</v>
      </c>
      <c r="CA39" s="2">
        <v>0.46511487299999998</v>
      </c>
      <c r="CB39" s="2">
        <v>1.1749825E-2</v>
      </c>
      <c r="CC39" s="2">
        <v>0.57590163600000011</v>
      </c>
      <c r="CD39" s="2">
        <v>1.2191339839999999</v>
      </c>
      <c r="CE39" s="2">
        <v>0.92381802400000002</v>
      </c>
      <c r="CF39" s="2">
        <v>0.966269563</v>
      </c>
      <c r="CG39" s="2">
        <v>1.25771243</v>
      </c>
      <c r="CH39" s="2">
        <v>4.1917379999999995E-3</v>
      </c>
      <c r="CI39" s="2">
        <v>0.124252553</v>
      </c>
      <c r="CJ39" s="2">
        <v>0.57234730300000003</v>
      </c>
      <c r="CK39" s="2">
        <v>1.4057120870000002</v>
      </c>
      <c r="CL39" s="2">
        <v>1.048016461</v>
      </c>
      <c r="CM39" s="2">
        <v>1.9889424999999999E-2</v>
      </c>
      <c r="CN39" s="2">
        <v>8.0870149999999995E-3</v>
      </c>
      <c r="CO39" s="2">
        <v>5.6657705000000003E-2</v>
      </c>
      <c r="CP39" s="2">
        <v>0.300556514</v>
      </c>
      <c r="CQ39" s="2">
        <v>1.161800301</v>
      </c>
      <c r="CR39" s="2">
        <v>1.1397850570000001</v>
      </c>
      <c r="CS39" s="2">
        <v>0.87478356199999996</v>
      </c>
      <c r="CT39" s="2">
        <v>1.6225999999999998E-4</v>
      </c>
      <c r="CU39" s="2">
        <v>7.5536660999999991E-2</v>
      </c>
      <c r="CV39" s="2">
        <v>0.65476034700000008</v>
      </c>
      <c r="CW39" s="2">
        <v>1.4373102170000001</v>
      </c>
      <c r="CX39" s="2">
        <v>0.293111699</v>
      </c>
      <c r="CY39" s="2">
        <v>0.245108408</v>
      </c>
      <c r="CZ39" s="2">
        <v>1.1920815E-2</v>
      </c>
      <c r="DA39" s="2">
        <v>0.46664794999999998</v>
      </c>
      <c r="DB39" s="2">
        <v>0.97921695899999994</v>
      </c>
      <c r="DC39" s="2">
        <v>2.9866213999999999E-2</v>
      </c>
      <c r="DD39" s="2">
        <v>0.16237115800000002</v>
      </c>
      <c r="DE39" s="2">
        <v>0.176692823</v>
      </c>
      <c r="DF39" s="2">
        <v>6.8751620000000006E-3</v>
      </c>
      <c r="DG39" s="2">
        <v>0.28080624100000001</v>
      </c>
      <c r="DH39" s="2">
        <v>0.80617759700000002</v>
      </c>
      <c r="DI39" s="2">
        <v>0.39596677399999997</v>
      </c>
      <c r="DJ39" s="2">
        <v>6.3498762E-2</v>
      </c>
      <c r="DK39" s="2">
        <v>9.6268609999999991E-2</v>
      </c>
      <c r="DL39" s="2">
        <v>3.8495300000000003E-3</v>
      </c>
      <c r="DM39" s="2">
        <v>0.26174894399999998</v>
      </c>
      <c r="DN39" s="2">
        <v>0.82720938099999997</v>
      </c>
      <c r="DO39" s="2">
        <v>4.0491266000000005E-2</v>
      </c>
      <c r="DP39" s="2">
        <v>0.47441921100000001</v>
      </c>
      <c r="DQ39" s="2">
        <v>1.223741376</v>
      </c>
      <c r="DR39" s="2">
        <v>2.9189999999999999E-4</v>
      </c>
      <c r="DS39" s="2">
        <v>1.7094081000000001E-2</v>
      </c>
      <c r="DT39" s="2">
        <v>10.826265108999999</v>
      </c>
      <c r="DU39" s="2">
        <v>0.62752833899999994</v>
      </c>
      <c r="DV39" s="2">
        <v>1.6318125560000001</v>
      </c>
      <c r="DW39" s="2">
        <v>0.33023052400000003</v>
      </c>
      <c r="DX39" s="2">
        <v>1.473061E-2</v>
      </c>
      <c r="DY39" s="2">
        <v>1.8916486999999999E-2</v>
      </c>
      <c r="DZ39" s="2">
        <v>0.21311091800000001</v>
      </c>
      <c r="EA39" s="2">
        <v>0.64104697099999997</v>
      </c>
      <c r="EB39" s="2">
        <v>2.2987168809999998</v>
      </c>
      <c r="EC39" s="2">
        <v>3.3456080999999999E-2</v>
      </c>
      <c r="ED39" s="2">
        <v>3.2445E-4</v>
      </c>
      <c r="EE39" s="2">
        <v>1.9516453E-2</v>
      </c>
      <c r="EF39" s="2">
        <v>0.18853912</v>
      </c>
      <c r="EG39" s="2">
        <v>0.51678331799999999</v>
      </c>
      <c r="EH39" s="2">
        <v>5.2966303620000001</v>
      </c>
      <c r="EI39" s="2">
        <v>4.3875099999999998E-3</v>
      </c>
      <c r="EJ39" s="2">
        <v>4.2764249999999995E-3</v>
      </c>
      <c r="EK39" s="2">
        <v>1.7432580999999999E-2</v>
      </c>
      <c r="EL39" s="2">
        <v>6.3663686229999996</v>
      </c>
      <c r="EM39" s="2">
        <v>1.449948622</v>
      </c>
      <c r="EN39" s="2">
        <v>0.76061681999999997</v>
      </c>
      <c r="EO39" s="2">
        <v>3.7162793190000003</v>
      </c>
      <c r="EP39" s="2">
        <v>1.1736549999999998E-3</v>
      </c>
      <c r="EQ39" s="2">
        <v>2.3237549999999998E-3</v>
      </c>
      <c r="ER39" s="2">
        <v>0.17798150500000001</v>
      </c>
      <c r="ES39" s="2">
        <v>2.4958692689999999</v>
      </c>
      <c r="ET39" s="2">
        <v>2.0810142700000003</v>
      </c>
      <c r="EU39" s="2">
        <v>1.4083870520000001</v>
      </c>
      <c r="EV39" s="2">
        <v>3.5811250000000001E-3</v>
      </c>
      <c r="EW39" s="2">
        <v>0.15898902000000001</v>
      </c>
      <c r="EX39" s="2">
        <v>0.17486243600000001</v>
      </c>
      <c r="EY39" s="2">
        <v>1.1180042189999999</v>
      </c>
      <c r="EZ39" s="2">
        <v>4.6600545570000005</v>
      </c>
      <c r="FA39" s="2">
        <v>9.4710839999999994E-3</v>
      </c>
      <c r="FB39" s="2">
        <v>4.1640999999999998E-4</v>
      </c>
      <c r="FC39" s="2">
        <v>4.1719923999999999E-2</v>
      </c>
      <c r="FD39" s="2">
        <v>4.8888626899999998</v>
      </c>
      <c r="FE39" s="2">
        <v>2.403966874</v>
      </c>
      <c r="FF39" s="2">
        <v>6.3070524180000005</v>
      </c>
      <c r="FG39" s="2">
        <v>4.9582703050000001</v>
      </c>
      <c r="FH39" s="2">
        <v>4.9053090000000001E-3</v>
      </c>
      <c r="FI39" s="2">
        <v>4.0778034859999996</v>
      </c>
      <c r="FJ39" s="2">
        <v>3.0269399469999998</v>
      </c>
      <c r="FK39" s="2">
        <v>6.2125651280000005</v>
      </c>
      <c r="FL39" s="2">
        <v>1.4333502880000002</v>
      </c>
      <c r="FM39" s="2">
        <v>2.5662542640000003</v>
      </c>
      <c r="FN39" s="2">
        <v>1.8195079999999998E-3</v>
      </c>
      <c r="FO39" s="2">
        <v>0.234707745</v>
      </c>
      <c r="FP39" s="2">
        <v>4.3101921050000005</v>
      </c>
      <c r="FQ39" s="2">
        <v>3.4765947179999999</v>
      </c>
      <c r="FR39" s="2">
        <v>5.6248040890000004</v>
      </c>
      <c r="FS39" s="2">
        <v>0.72765393500000008</v>
      </c>
      <c r="FT39" s="2">
        <v>6.1840909999999992E-3</v>
      </c>
      <c r="FU39" s="2">
        <v>4.8774550309999993</v>
      </c>
      <c r="FV39" s="2">
        <v>3.4253765159999996</v>
      </c>
      <c r="FW39" s="2">
        <v>1.9966454020000002</v>
      </c>
      <c r="FX39" s="2">
        <v>5.297530493</v>
      </c>
      <c r="FY39" s="2">
        <v>0.73567243599999999</v>
      </c>
      <c r="FZ39" s="2">
        <v>1.96128E-4</v>
      </c>
      <c r="GA39" s="2">
        <v>1.6328609000000001E-2</v>
      </c>
      <c r="GB39" s="22">
        <v>3.7446879630000001</v>
      </c>
      <c r="GC39" s="22">
        <v>4.0263506900000001</v>
      </c>
      <c r="GD39" s="22">
        <v>6.2997417929999999</v>
      </c>
      <c r="GE39" s="22">
        <v>0.73173892900000004</v>
      </c>
      <c r="GF39" s="22">
        <v>3.835831E-3</v>
      </c>
      <c r="GG39" s="22">
        <v>2.7864300000000003E-3</v>
      </c>
      <c r="GH39" s="22">
        <v>6.8563366569999999</v>
      </c>
      <c r="GI39" s="22">
        <v>4.4188528170000003</v>
      </c>
      <c r="GJ39" s="22">
        <v>8.4891877120000014</v>
      </c>
      <c r="GK39" s="22">
        <v>0.72685118799999993</v>
      </c>
      <c r="GL39" s="23">
        <v>1.4850270000000001E-3</v>
      </c>
      <c r="GM39" s="23">
        <v>2.3278129999999998E-3</v>
      </c>
      <c r="GN39" s="23">
        <v>13.313673652</v>
      </c>
      <c r="GO39" s="23">
        <v>1.430808203</v>
      </c>
      <c r="GP39" s="23">
        <v>13.845676735</v>
      </c>
      <c r="GQ39" s="23">
        <v>0.63204208900000003</v>
      </c>
      <c r="GR39" s="23">
        <v>2.4682490000000001E-3</v>
      </c>
      <c r="GS39" s="23">
        <v>2.1140519999999999E-3</v>
      </c>
      <c r="GT39" s="23">
        <v>21.568701882000003</v>
      </c>
      <c r="GU39" s="23">
        <v>1.344079198</v>
      </c>
      <c r="GV39" s="23">
        <v>5.9443160619999995</v>
      </c>
      <c r="GW39" s="23">
        <v>-8.2691399999999999E-4</v>
      </c>
      <c r="GX39" s="23">
        <v>1.37028E-4</v>
      </c>
      <c r="GY39" s="23">
        <v>1.462533E-3</v>
      </c>
      <c r="GZ39" s="23">
        <v>27.402715562000001</v>
      </c>
      <c r="HA39" s="23">
        <v>1.1619725920000001</v>
      </c>
      <c r="HB39" s="23">
        <v>17.580296411000003</v>
      </c>
      <c r="HC39" s="23">
        <v>0.49323695099999998</v>
      </c>
      <c r="HD39" s="23">
        <v>1.2098830000000001E-3</v>
      </c>
      <c r="HE39" s="23">
        <v>0.34828003600000002</v>
      </c>
      <c r="HF39" s="23"/>
      <c r="HG39" s="23"/>
      <c r="HH39" s="23"/>
      <c r="HI39" s="23"/>
    </row>
    <row r="40" spans="1:217">
      <c r="A40" s="47" t="s">
        <v>45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2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18.358286471999964</v>
      </c>
      <c r="DT40" s="2">
        <v>38.398020192000011</v>
      </c>
      <c r="DU40" s="2">
        <v>5.6379887999995847E-2</v>
      </c>
      <c r="DV40" s="2">
        <v>1.6582319999870379E-3</v>
      </c>
      <c r="DW40" s="2">
        <v>1.6582320000015898E-3</v>
      </c>
      <c r="DX40" s="2">
        <v>0.10280865600000834</v>
      </c>
      <c r="DY40" s="2">
        <v>1.3265856000012718E-2</v>
      </c>
      <c r="DZ40" s="2">
        <v>1.6582320000015898E-3</v>
      </c>
      <c r="EA40" s="2">
        <v>0.82911600000000907</v>
      </c>
      <c r="EB40" s="2">
        <v>1.8141058080000221</v>
      </c>
      <c r="EC40" s="2">
        <v>0.53726716800002028</v>
      </c>
      <c r="ED40" s="2">
        <v>19.706429087999997</v>
      </c>
      <c r="EE40" s="2">
        <v>39.344870663999998</v>
      </c>
      <c r="EF40" s="2">
        <v>0.2222030879999802</v>
      </c>
      <c r="EG40" s="2">
        <v>1.9898783999989973E-2</v>
      </c>
      <c r="EH40" s="2">
        <v>3.1506407999986552E-2</v>
      </c>
      <c r="EI40" s="2">
        <v>1.6582320000161418E-3</v>
      </c>
      <c r="EJ40" s="2">
        <v>3.3164640000031796E-3</v>
      </c>
      <c r="EK40" s="2">
        <v>2.155701599997701E-2</v>
      </c>
      <c r="EL40" s="2">
        <v>0</v>
      </c>
      <c r="EM40" s="2">
        <v>1.6582320000161418E-3</v>
      </c>
      <c r="EN40" s="2">
        <v>0</v>
      </c>
      <c r="EO40" s="2">
        <v>1.7199181220000028</v>
      </c>
      <c r="EP40" s="2">
        <v>22.647466880000007</v>
      </c>
      <c r="EQ40" s="2">
        <v>43.129780475000032</v>
      </c>
      <c r="ER40" s="2">
        <v>0.39399588000000224</v>
      </c>
      <c r="ES40" s="2">
        <v>0.24989553500001785</v>
      </c>
      <c r="ET40" s="2">
        <v>1.8240550000045914E-3</v>
      </c>
      <c r="EU40" s="2">
        <v>5.4721650000137739E-3</v>
      </c>
      <c r="EV40" s="2">
        <v>1.4592439999978524E-2</v>
      </c>
      <c r="EW40" s="2">
        <v>1.8240550000336953E-3</v>
      </c>
      <c r="EX40" s="2">
        <v>0</v>
      </c>
      <c r="EY40" s="2">
        <v>0</v>
      </c>
      <c r="EZ40" s="2">
        <v>1.8240550000045914E-3</v>
      </c>
      <c r="FA40" s="2">
        <v>1.8076385050000099</v>
      </c>
      <c r="FB40" s="2">
        <v>23.258525304999988</v>
      </c>
      <c r="FC40" s="2">
        <v>43.038577724999982</v>
      </c>
      <c r="FD40" s="2">
        <v>0.50708728999999586</v>
      </c>
      <c r="FE40" s="2">
        <v>-0.22800687500002095</v>
      </c>
      <c r="FF40" s="2">
        <v>1.4592440000007628E-2</v>
      </c>
      <c r="FG40" s="2">
        <v>1.8240549999754877E-3</v>
      </c>
      <c r="FH40" s="2">
        <v>0</v>
      </c>
      <c r="FI40" s="2">
        <v>0.47910241000002135</v>
      </c>
      <c r="FJ40" s="2">
        <v>4.3777319999993777E-2</v>
      </c>
      <c r="FK40" s="2">
        <v>1.8240550000045914E-3</v>
      </c>
      <c r="FL40" s="2">
        <v>0</v>
      </c>
      <c r="FM40" s="2">
        <v>1.4191147900000214</v>
      </c>
      <c r="FN40" s="2">
        <v>23.210650205000011</v>
      </c>
      <c r="FO40" s="2">
        <v>45.138494177999995</v>
      </c>
      <c r="FP40" s="2">
        <v>0.33200168300000948</v>
      </c>
      <c r="FQ40" s="2">
        <v>3.9290139999997337E-2</v>
      </c>
      <c r="FR40" s="2">
        <v>1.7680562999972609E-2</v>
      </c>
      <c r="FS40" s="2">
        <v>2.6304748729999994</v>
      </c>
      <c r="FT40" s="2">
        <v>7.8580279999878253E-3</v>
      </c>
      <c r="FU40" s="2">
        <v>0.50684280599997145</v>
      </c>
      <c r="FV40" s="2">
        <v>1.9645069999969563E-3</v>
      </c>
      <c r="FW40" s="2">
        <v>0</v>
      </c>
      <c r="FX40" s="2">
        <v>0</v>
      </c>
      <c r="FY40" s="2">
        <v>3.9210259330000263</v>
      </c>
      <c r="FZ40" s="2">
        <v>0</v>
      </c>
      <c r="GA40" s="2">
        <v>77.769732300000001</v>
      </c>
      <c r="GB40" s="22">
        <v>4.0822460000053979E-3</v>
      </c>
      <c r="GC40" s="22">
        <v>0</v>
      </c>
      <c r="GD40" s="22">
        <v>2.041123000002699E-3</v>
      </c>
      <c r="GE40" s="22">
        <v>0</v>
      </c>
      <c r="GF40" s="22">
        <v>0</v>
      </c>
      <c r="GG40" s="22">
        <v>0</v>
      </c>
      <c r="GH40" s="22">
        <v>0</v>
      </c>
      <c r="GI40" s="22">
        <v>0</v>
      </c>
      <c r="GJ40" s="22">
        <v>0</v>
      </c>
      <c r="GK40" s="22">
        <v>2.9365021939999423</v>
      </c>
      <c r="GL40" s="23">
        <v>0</v>
      </c>
      <c r="GM40" s="23">
        <v>81.65474642400001</v>
      </c>
      <c r="GN40" s="23">
        <v>6.3376860000018492E-2</v>
      </c>
      <c r="GO40" s="23">
        <v>0</v>
      </c>
      <c r="GP40" s="23">
        <v>0</v>
      </c>
      <c r="GQ40" s="23">
        <v>0</v>
      </c>
      <c r="GR40" s="23">
        <v>0</v>
      </c>
      <c r="GS40" s="23">
        <v>0.58306699999998091</v>
      </c>
      <c r="GT40" s="23">
        <v>0</v>
      </c>
      <c r="GU40" s="23">
        <v>0</v>
      </c>
      <c r="GV40" s="23">
        <v>0</v>
      </c>
      <c r="GW40" s="23">
        <v>3.4959055020000087</v>
      </c>
      <c r="GX40" s="23">
        <v>0</v>
      </c>
      <c r="GY40" s="23">
        <v>0.52408852099999781</v>
      </c>
      <c r="GZ40" s="23">
        <v>87.463576354000026</v>
      </c>
      <c r="HA40" s="23">
        <v>0</v>
      </c>
      <c r="HB40" s="23">
        <v>0</v>
      </c>
      <c r="HC40" s="23">
        <v>0</v>
      </c>
      <c r="HD40" s="23">
        <v>0</v>
      </c>
      <c r="HE40" s="23">
        <v>0</v>
      </c>
      <c r="HF40" s="23"/>
      <c r="HG40" s="23"/>
      <c r="HH40" s="23"/>
      <c r="HI40" s="23"/>
    </row>
    <row r="41" spans="1:217" s="43" customFormat="1">
      <c r="A41" s="44" t="s">
        <v>37</v>
      </c>
      <c r="B41" s="45">
        <v>76.454265444000015</v>
      </c>
      <c r="C41" s="45">
        <v>22.676430415999999</v>
      </c>
      <c r="D41" s="45">
        <v>32.289546029</v>
      </c>
      <c r="E41" s="45">
        <v>16.430751633</v>
      </c>
      <c r="F41" s="45">
        <v>30.107207293000002</v>
      </c>
      <c r="G41" s="45">
        <v>58.480218084000001</v>
      </c>
      <c r="H41" s="45">
        <v>79.996660785999993</v>
      </c>
      <c r="I41" s="45">
        <v>21.761392463000004</v>
      </c>
      <c r="J41" s="45">
        <v>2.2744135930000002</v>
      </c>
      <c r="K41" s="45">
        <v>18.612666232999999</v>
      </c>
      <c r="L41" s="45">
        <v>49.682997993000001</v>
      </c>
      <c r="M41" s="45">
        <v>70.066086654000003</v>
      </c>
      <c r="N41" s="45">
        <v>26.358134066999998</v>
      </c>
      <c r="O41" s="45">
        <v>49.296783963000003</v>
      </c>
      <c r="P41" s="45">
        <v>38.818497961999995</v>
      </c>
      <c r="Q41" s="45">
        <v>21.095138304999999</v>
      </c>
      <c r="R41" s="45">
        <v>22.915008738000001</v>
      </c>
      <c r="S41" s="45">
        <v>57.240207045999995</v>
      </c>
      <c r="T41" s="45">
        <v>49.769885892999994</v>
      </c>
      <c r="U41" s="45">
        <v>53.921032193000002</v>
      </c>
      <c r="V41" s="45">
        <v>27.566205033999999</v>
      </c>
      <c r="W41" s="45">
        <v>24.735061700999999</v>
      </c>
      <c r="X41" s="45">
        <v>39.883473247000005</v>
      </c>
      <c r="Y41" s="45">
        <v>62.638663856999997</v>
      </c>
      <c r="Z41" s="45">
        <v>68.347265024999999</v>
      </c>
      <c r="AA41" s="45">
        <v>33.195611381999996</v>
      </c>
      <c r="AB41" s="45">
        <v>30.01204405</v>
      </c>
      <c r="AC41" s="45">
        <v>77.718722263999993</v>
      </c>
      <c r="AD41" s="45">
        <v>25.814721405</v>
      </c>
      <c r="AE41" s="45">
        <v>39.678707319000004</v>
      </c>
      <c r="AF41" s="45">
        <v>81.668545637999998</v>
      </c>
      <c r="AG41" s="45">
        <v>26.818781368</v>
      </c>
      <c r="AH41" s="45">
        <v>38.895483596000005</v>
      </c>
      <c r="AI41" s="45">
        <v>29.194823579000001</v>
      </c>
      <c r="AJ41" s="45">
        <v>36.488992515999996</v>
      </c>
      <c r="AK41" s="45">
        <v>51.857412732</v>
      </c>
      <c r="AL41" s="45">
        <v>95.739914905999996</v>
      </c>
      <c r="AM41" s="45">
        <v>24.579515886999999</v>
      </c>
      <c r="AN41" s="45">
        <v>37.038721946999999</v>
      </c>
      <c r="AO41" s="45">
        <v>40.404184504</v>
      </c>
      <c r="AP41" s="45">
        <v>21.291658528999999</v>
      </c>
      <c r="AQ41" s="45">
        <v>44.527388335000005</v>
      </c>
      <c r="AR41" s="45">
        <v>87.592296176000005</v>
      </c>
      <c r="AS41" s="45">
        <v>22.912148883999997</v>
      </c>
      <c r="AT41" s="45">
        <v>42.830600302999997</v>
      </c>
      <c r="AU41" s="45">
        <v>33.848202461</v>
      </c>
      <c r="AV41" s="45">
        <v>24.594130288999999</v>
      </c>
      <c r="AW41" s="45">
        <v>40.898029745000002</v>
      </c>
      <c r="AX41" s="45">
        <v>92.886776473000012</v>
      </c>
      <c r="AY41" s="45">
        <v>23.529761198999999</v>
      </c>
      <c r="AZ41" s="45">
        <v>37.676785350999999</v>
      </c>
      <c r="BA41" s="45">
        <v>30.952620140000001</v>
      </c>
      <c r="BB41" s="45">
        <v>37.656605636999998</v>
      </c>
      <c r="BC41" s="45">
        <v>20.425693170999999</v>
      </c>
      <c r="BD41" s="45">
        <v>99.273361085000005</v>
      </c>
      <c r="BE41" s="45">
        <v>36.412963830999999</v>
      </c>
      <c r="BF41" s="45">
        <v>29.761575586999999</v>
      </c>
      <c r="BG41" s="45">
        <v>29.416338006</v>
      </c>
      <c r="BH41" s="45">
        <v>50.950675775999997</v>
      </c>
      <c r="BI41" s="45">
        <v>23.669714287000001</v>
      </c>
      <c r="BJ41" s="45">
        <v>79.289413317999987</v>
      </c>
      <c r="BK41" s="45">
        <v>19.612745175000001</v>
      </c>
      <c r="BL41" s="45">
        <v>49.415498023000005</v>
      </c>
      <c r="BM41" s="45">
        <v>35.592503491000002</v>
      </c>
      <c r="BN41" s="45">
        <v>12.119360480999999</v>
      </c>
      <c r="BO41" s="45">
        <v>51.359373496999993</v>
      </c>
      <c r="BP41" s="45">
        <v>43.012287393000001</v>
      </c>
      <c r="BQ41" s="45">
        <v>17.262416411000004</v>
      </c>
      <c r="BR41" s="45">
        <v>45.981514473999994</v>
      </c>
      <c r="BS41" s="45">
        <v>16.513022138000004</v>
      </c>
      <c r="BT41" s="45">
        <v>20.134359923000002</v>
      </c>
      <c r="BU41" s="45">
        <v>54.854190760999998</v>
      </c>
      <c r="BV41" s="45">
        <v>53.976274990999997</v>
      </c>
      <c r="BW41" s="45">
        <v>18.026888670000002</v>
      </c>
      <c r="BX41" s="45">
        <v>33.388431787000002</v>
      </c>
      <c r="BY41" s="45">
        <v>39.653308006000003</v>
      </c>
      <c r="BZ41" s="45">
        <v>13.925832086</v>
      </c>
      <c r="CA41" s="45">
        <v>53.268815287999999</v>
      </c>
      <c r="CB41" s="45">
        <v>35.894214886999997</v>
      </c>
      <c r="CC41" s="45">
        <v>17.273570069000002</v>
      </c>
      <c r="CD41" s="45">
        <v>37.926660558000002</v>
      </c>
      <c r="CE41" s="45">
        <v>37.894451320999998</v>
      </c>
      <c r="CF41" s="45">
        <v>17.533006349000001</v>
      </c>
      <c r="CG41" s="45">
        <v>75.695110802000002</v>
      </c>
      <c r="CH41" s="45">
        <v>4.3521372180000002</v>
      </c>
      <c r="CI41" s="45">
        <v>18.946155934</v>
      </c>
      <c r="CJ41" s="45">
        <v>54.889295213999993</v>
      </c>
      <c r="CK41" s="45">
        <v>14.714246821000001</v>
      </c>
      <c r="CL41" s="45">
        <v>31.982996918000005</v>
      </c>
      <c r="CM41" s="45">
        <v>15.261462385</v>
      </c>
      <c r="CN41" s="45">
        <v>20.188809864</v>
      </c>
      <c r="CO41" s="45">
        <v>32.201730186999995</v>
      </c>
      <c r="CP41" s="45">
        <v>34.039806681000002</v>
      </c>
      <c r="CQ41" s="45">
        <v>45.437904380999996</v>
      </c>
      <c r="CR41" s="45">
        <v>33.459528829</v>
      </c>
      <c r="CS41" s="45">
        <v>40.869971289000006</v>
      </c>
      <c r="CT41" s="45">
        <v>14.299350767</v>
      </c>
      <c r="CU41" s="45">
        <v>30.962302599999997</v>
      </c>
      <c r="CV41" s="45">
        <v>50.899919073000007</v>
      </c>
      <c r="CW41" s="45">
        <v>14.627787689</v>
      </c>
      <c r="CX41" s="45">
        <v>30.874367117000002</v>
      </c>
      <c r="CY41" s="45">
        <v>2.7841505829999997</v>
      </c>
      <c r="CZ41" s="45">
        <v>17.472502975000001</v>
      </c>
      <c r="DA41" s="45">
        <v>43.265054606</v>
      </c>
      <c r="DB41" s="45">
        <v>26.960858775999998</v>
      </c>
      <c r="DC41" s="45">
        <v>7.6651717499999998</v>
      </c>
      <c r="DD41" s="45">
        <v>10.91545999</v>
      </c>
      <c r="DE41" s="45">
        <v>33.360797421999997</v>
      </c>
      <c r="DF41" s="45">
        <v>10.795707879</v>
      </c>
      <c r="DG41" s="45">
        <v>31.118587382999998</v>
      </c>
      <c r="DH41" s="45">
        <v>35.383338621999997</v>
      </c>
      <c r="DI41" s="45">
        <v>15.785979966000001</v>
      </c>
      <c r="DJ41" s="45">
        <v>14.623210596</v>
      </c>
      <c r="DK41" s="45">
        <v>11.153270747999999</v>
      </c>
      <c r="DL41" s="45">
        <v>17.927135302</v>
      </c>
      <c r="DM41" s="45">
        <v>38.518974217999997</v>
      </c>
      <c r="DN41" s="45">
        <v>39.759797610999996</v>
      </c>
      <c r="DO41" s="45">
        <v>11.236642564</v>
      </c>
      <c r="DP41" s="45">
        <v>8.3208296219999998</v>
      </c>
      <c r="DQ41" s="45">
        <v>24.541663769000003</v>
      </c>
      <c r="DR41" s="45">
        <v>19.780640078000001</v>
      </c>
      <c r="DS41" s="45">
        <v>7.6766350189999999</v>
      </c>
      <c r="DT41" s="45">
        <v>62.770817612999991</v>
      </c>
      <c r="DU41" s="45">
        <v>13.574423742</v>
      </c>
      <c r="DV41" s="45">
        <v>20.54171535</v>
      </c>
      <c r="DW41" s="45">
        <v>16.887773461000002</v>
      </c>
      <c r="DX41" s="45">
        <v>74.104171454999999</v>
      </c>
      <c r="DY41" s="45">
        <v>18.925449558</v>
      </c>
      <c r="DZ41" s="45">
        <v>72.173999641000009</v>
      </c>
      <c r="EA41" s="45">
        <v>14.606044358</v>
      </c>
      <c r="EB41" s="45">
        <v>28.111498447000002</v>
      </c>
      <c r="EC41" s="45">
        <v>66.868354703000008</v>
      </c>
      <c r="ED41" s="45">
        <v>70.994051287999994</v>
      </c>
      <c r="EE41" s="45">
        <v>17.397867418999997</v>
      </c>
      <c r="EF41" s="45">
        <v>69.097013524999994</v>
      </c>
      <c r="EG41" s="45">
        <v>14.260567279</v>
      </c>
      <c r="EH41" s="45">
        <v>27.728664319</v>
      </c>
      <c r="EI41" s="45">
        <v>25.340339022999999</v>
      </c>
      <c r="EJ41" s="45">
        <v>71.502778395999997</v>
      </c>
      <c r="EK41" s="45">
        <v>54.139735023</v>
      </c>
      <c r="EL41" s="45">
        <v>66.953650913000004</v>
      </c>
      <c r="EM41" s="45">
        <v>35.396357498</v>
      </c>
      <c r="EN41" s="45">
        <v>16.076906475999998</v>
      </c>
      <c r="EO41" s="45">
        <v>57.824224169999994</v>
      </c>
      <c r="EP41" s="45">
        <v>58.307220506</v>
      </c>
      <c r="EQ41" s="45">
        <v>196.113979312</v>
      </c>
      <c r="ER41" s="45">
        <v>66.228400985000007</v>
      </c>
      <c r="ES41" s="45">
        <v>15.743442071</v>
      </c>
      <c r="ET41" s="45">
        <v>32.079378284000001</v>
      </c>
      <c r="EU41" s="45">
        <v>25.461571223</v>
      </c>
      <c r="EV41" s="45">
        <v>139.767127453</v>
      </c>
      <c r="EW41" s="45">
        <v>208.11814463200002</v>
      </c>
      <c r="EX41" s="45">
        <v>60.784454132999997</v>
      </c>
      <c r="EY41" s="45">
        <v>18.725483708999999</v>
      </c>
      <c r="EZ41" s="45">
        <v>43.841144234000005</v>
      </c>
      <c r="FA41" s="45">
        <v>28.180372777999999</v>
      </c>
      <c r="FB41" s="46">
        <v>335.84208395999997</v>
      </c>
      <c r="FC41" s="46">
        <v>41.321143781000004</v>
      </c>
      <c r="FD41" s="46">
        <v>59.233254418999998</v>
      </c>
      <c r="FE41" s="46">
        <v>22.770598943</v>
      </c>
      <c r="FF41" s="46">
        <v>63.103499092999996</v>
      </c>
      <c r="FG41" s="46">
        <v>11.415238760999999</v>
      </c>
      <c r="FH41" s="46">
        <v>323.09803095500001</v>
      </c>
      <c r="FI41" s="46">
        <v>64.470358155</v>
      </c>
      <c r="FJ41" s="46">
        <v>48.008867545000001</v>
      </c>
      <c r="FK41" s="46">
        <v>134.51157997199999</v>
      </c>
      <c r="FL41" s="46">
        <v>21.20064571</v>
      </c>
      <c r="FM41" s="46">
        <v>26.468198454000003</v>
      </c>
      <c r="FN41" s="46">
        <v>317.926286667</v>
      </c>
      <c r="FO41" s="46">
        <v>36.997612087</v>
      </c>
      <c r="FP41" s="46">
        <v>46.613511115000001</v>
      </c>
      <c r="FQ41" s="46">
        <v>113.75139199799999</v>
      </c>
      <c r="FR41" s="46">
        <v>52.878476325000001</v>
      </c>
      <c r="FS41" s="46">
        <v>17.810227117</v>
      </c>
      <c r="FT41" s="46">
        <v>150.04371167100001</v>
      </c>
      <c r="FU41" s="46">
        <v>197.76888935700001</v>
      </c>
      <c r="FV41" s="46">
        <v>117.17878573299998</v>
      </c>
      <c r="FW41" s="46">
        <v>124.43561802500001</v>
      </c>
      <c r="FX41" s="46">
        <v>71.918462309000006</v>
      </c>
      <c r="FY41" s="46">
        <v>29.043994151</v>
      </c>
      <c r="FZ41" s="46">
        <v>150.84025935300002</v>
      </c>
      <c r="GA41" s="46">
        <v>189.55134016899999</v>
      </c>
      <c r="GB41" s="41">
        <v>112.22667848099999</v>
      </c>
      <c r="GC41" s="41">
        <v>144.79590694199999</v>
      </c>
      <c r="GD41" s="41">
        <v>72.321866960999998</v>
      </c>
      <c r="GE41" s="41">
        <v>15.027948557</v>
      </c>
      <c r="GF41" s="41">
        <v>148.36506258</v>
      </c>
      <c r="GG41" s="41">
        <v>194.74704125900001</v>
      </c>
      <c r="GH41" s="41">
        <v>211.68874921300002</v>
      </c>
      <c r="GI41" s="41">
        <v>150.37004557200001</v>
      </c>
      <c r="GJ41" s="41">
        <v>120.16899232599999</v>
      </c>
      <c r="GK41" s="41">
        <v>39.377769686000001</v>
      </c>
      <c r="GL41" s="42">
        <v>135.71840630299999</v>
      </c>
      <c r="GM41" s="42">
        <v>202.30891729500001</v>
      </c>
      <c r="GN41" s="42">
        <v>202.67712963699998</v>
      </c>
      <c r="GO41" s="42">
        <v>167.74711762999999</v>
      </c>
      <c r="GP41" s="42">
        <v>171.50266533799999</v>
      </c>
      <c r="GQ41" s="42">
        <v>23.951952265999999</v>
      </c>
      <c r="GR41" s="42">
        <v>141.54476723300002</v>
      </c>
      <c r="GS41" s="42">
        <v>296.29074526099998</v>
      </c>
      <c r="GT41" s="42">
        <v>265.68810881600001</v>
      </c>
      <c r="GU41" s="42">
        <v>208.18718309600001</v>
      </c>
      <c r="GV41" s="42">
        <v>120.20753763699999</v>
      </c>
      <c r="GW41" s="42">
        <v>25.740211659</v>
      </c>
      <c r="GX41" s="42">
        <v>135.35211587500001</v>
      </c>
      <c r="GY41" s="42">
        <v>317.80527714399994</v>
      </c>
      <c r="GZ41" s="42">
        <v>331.74613227099996</v>
      </c>
      <c r="HA41" s="42">
        <v>168.46883947400002</v>
      </c>
      <c r="HB41" s="42">
        <v>166.09026483700001</v>
      </c>
      <c r="HC41" s="42">
        <v>26.587952999000002</v>
      </c>
      <c r="HD41" s="42">
        <v>138.21269477999999</v>
      </c>
      <c r="HE41" s="42">
        <v>234.53197959199997</v>
      </c>
      <c r="HF41" s="42"/>
      <c r="HG41" s="42"/>
      <c r="HH41" s="42"/>
      <c r="HI41" s="42"/>
    </row>
    <row r="42" spans="1:217">
      <c r="A42" s="47" t="s">
        <v>75</v>
      </c>
      <c r="B42" s="2">
        <v>76.088478946000009</v>
      </c>
      <c r="C42" s="2">
        <v>19.777979017</v>
      </c>
      <c r="D42" s="2">
        <v>30.446925726</v>
      </c>
      <c r="E42" s="2">
        <v>14.248810735999999</v>
      </c>
      <c r="F42" s="2">
        <v>22.64939875</v>
      </c>
      <c r="G42" s="2">
        <v>46.276714636999998</v>
      </c>
      <c r="H42" s="2">
        <v>66.137600137999996</v>
      </c>
      <c r="I42" s="2">
        <v>20.887231411000002</v>
      </c>
      <c r="J42" s="2">
        <v>2.021938778</v>
      </c>
      <c r="K42" s="2">
        <v>15.239573729</v>
      </c>
      <c r="L42" s="2">
        <v>42.613826043000003</v>
      </c>
      <c r="M42" s="2">
        <v>64.803706038000001</v>
      </c>
      <c r="N42" s="2">
        <v>26.358134066999998</v>
      </c>
      <c r="O42" s="2">
        <v>49.296783963000003</v>
      </c>
      <c r="P42" s="2">
        <v>38.533497961999998</v>
      </c>
      <c r="Q42" s="2">
        <v>21.095138304999999</v>
      </c>
      <c r="R42" s="2">
        <v>14.916563404</v>
      </c>
      <c r="S42" s="2">
        <v>48.289469609999998</v>
      </c>
      <c r="T42" s="2">
        <v>49.277734795999997</v>
      </c>
      <c r="U42" s="2">
        <v>26.137171410000001</v>
      </c>
      <c r="V42" s="2">
        <v>27.566205033999999</v>
      </c>
      <c r="W42" s="2">
        <v>16.241634427000001</v>
      </c>
      <c r="X42" s="2">
        <v>36.042276458000003</v>
      </c>
      <c r="Y42" s="2">
        <v>52.748802996999999</v>
      </c>
      <c r="Z42" s="2">
        <v>68.347265024999999</v>
      </c>
      <c r="AA42" s="2">
        <v>24.916740925999999</v>
      </c>
      <c r="AB42" s="2">
        <v>29.92204405</v>
      </c>
      <c r="AC42" s="2">
        <v>46.436782916999995</v>
      </c>
      <c r="AD42" s="2">
        <v>19.774971223000001</v>
      </c>
      <c r="AE42" s="2">
        <v>39.678707319000004</v>
      </c>
      <c r="AF42" s="2">
        <v>77.994661995000001</v>
      </c>
      <c r="AG42" s="2">
        <v>22.334591757999998</v>
      </c>
      <c r="AH42" s="2">
        <v>35.483210396000004</v>
      </c>
      <c r="AI42" s="2">
        <v>29.194823579000001</v>
      </c>
      <c r="AJ42" s="2">
        <v>24.196373189999999</v>
      </c>
      <c r="AK42" s="2">
        <v>37.678720638999998</v>
      </c>
      <c r="AL42" s="2">
        <v>92.1555623</v>
      </c>
      <c r="AM42" s="2">
        <v>24.567408092000001</v>
      </c>
      <c r="AN42" s="2">
        <v>27.312788130000001</v>
      </c>
      <c r="AO42" s="2">
        <v>32.729012734999998</v>
      </c>
      <c r="AP42" s="2">
        <v>21.291658528999999</v>
      </c>
      <c r="AQ42" s="2">
        <v>40.220152777000003</v>
      </c>
      <c r="AR42" s="2">
        <v>85.892296176000002</v>
      </c>
      <c r="AS42" s="2">
        <v>22.912148883999997</v>
      </c>
      <c r="AT42" s="2">
        <v>35.926548820000001</v>
      </c>
      <c r="AU42" s="2">
        <v>27.832765029999997</v>
      </c>
      <c r="AV42" s="2">
        <v>16.847695157999997</v>
      </c>
      <c r="AW42" s="2">
        <v>34.96844377</v>
      </c>
      <c r="AX42" s="2">
        <v>92.886776473000012</v>
      </c>
      <c r="AY42" s="2">
        <v>23.529761198999999</v>
      </c>
      <c r="AZ42" s="2">
        <v>29.805139292</v>
      </c>
      <c r="BA42" s="2">
        <v>29.783755532000001</v>
      </c>
      <c r="BB42" s="2">
        <v>31.694003187</v>
      </c>
      <c r="BC42" s="2">
        <v>20.425693170999999</v>
      </c>
      <c r="BD42" s="2">
        <v>86.495637647999999</v>
      </c>
      <c r="BE42" s="2">
        <v>29.522937329000001</v>
      </c>
      <c r="BF42" s="2">
        <v>26.641866346</v>
      </c>
      <c r="BG42" s="2">
        <v>29.416338006</v>
      </c>
      <c r="BH42" s="2">
        <v>41.482645552000001</v>
      </c>
      <c r="BI42" s="2">
        <v>-0.15110721199999999</v>
      </c>
      <c r="BJ42" s="2">
        <v>78.725258451999991</v>
      </c>
      <c r="BK42" s="2">
        <v>19.543100298000002</v>
      </c>
      <c r="BL42" s="2">
        <v>37.267208786000005</v>
      </c>
      <c r="BM42" s="2">
        <v>27.003262370000002</v>
      </c>
      <c r="BN42" s="2">
        <v>8.2774919019999995</v>
      </c>
      <c r="BO42" s="2">
        <v>30.642420214999998</v>
      </c>
      <c r="BP42" s="2">
        <v>42.062936616999998</v>
      </c>
      <c r="BQ42" s="2">
        <v>17.218240053000002</v>
      </c>
      <c r="BR42" s="2">
        <v>27.639764993</v>
      </c>
      <c r="BS42" s="2">
        <v>16.506212436000002</v>
      </c>
      <c r="BT42" s="2">
        <v>19.869457207</v>
      </c>
      <c r="BU42" s="2">
        <v>25.158875763000001</v>
      </c>
      <c r="BV42" s="2">
        <v>53.962962777999998</v>
      </c>
      <c r="BW42" s="2">
        <v>17.980856124000002</v>
      </c>
      <c r="BX42" s="2">
        <v>33.388431787000002</v>
      </c>
      <c r="BY42" s="2">
        <v>25.307838092000001</v>
      </c>
      <c r="BZ42" s="2">
        <v>13.78706934</v>
      </c>
      <c r="CA42" s="2">
        <v>24.875162415999998</v>
      </c>
      <c r="CB42" s="2">
        <v>35.436344349999999</v>
      </c>
      <c r="CC42" s="2">
        <v>17.236286786000001</v>
      </c>
      <c r="CD42" s="2">
        <v>37.595347234000002</v>
      </c>
      <c r="CE42" s="2">
        <v>16.806824895999998</v>
      </c>
      <c r="CF42" s="2">
        <v>11.030099492</v>
      </c>
      <c r="CG42" s="2">
        <v>47.020098330000003</v>
      </c>
      <c r="CH42" s="2">
        <v>4.3521372180000002</v>
      </c>
      <c r="CI42" s="2">
        <v>18.946155934</v>
      </c>
      <c r="CJ42" s="2">
        <v>40.891173222999996</v>
      </c>
      <c r="CK42" s="2">
        <v>14.714246821000001</v>
      </c>
      <c r="CL42" s="2">
        <v>8.6745688480000016</v>
      </c>
      <c r="CM42" s="2">
        <v>14.736985611</v>
      </c>
      <c r="CN42" s="2">
        <v>20.188809864</v>
      </c>
      <c r="CO42" s="2">
        <v>32.179884596999997</v>
      </c>
      <c r="CP42" s="2">
        <v>25.487800628000002</v>
      </c>
      <c r="CQ42" s="2">
        <v>16.066265379000001</v>
      </c>
      <c r="CR42" s="2">
        <v>13.016869452000002</v>
      </c>
      <c r="CS42" s="2">
        <v>25.006389694000003</v>
      </c>
      <c r="CT42" s="2">
        <v>14.299350767</v>
      </c>
      <c r="CU42" s="2">
        <v>30.948203034999999</v>
      </c>
      <c r="CV42" s="2">
        <v>23.497103038000002</v>
      </c>
      <c r="CW42" s="2">
        <v>14.553404127</v>
      </c>
      <c r="CX42" s="2">
        <v>21.535081096000003</v>
      </c>
      <c r="CY42" s="2">
        <v>1.164486546</v>
      </c>
      <c r="CZ42" s="2">
        <v>17.472502975000001</v>
      </c>
      <c r="DA42" s="2">
        <v>43.259769046999999</v>
      </c>
      <c r="DB42" s="2">
        <v>7.6814615759999993</v>
      </c>
      <c r="DC42" s="2">
        <v>7.5531059459999996</v>
      </c>
      <c r="DD42" s="2">
        <v>6.6870254280000001</v>
      </c>
      <c r="DE42" s="2">
        <v>24.075755176999998</v>
      </c>
      <c r="DF42" s="2">
        <v>10.795707879</v>
      </c>
      <c r="DG42" s="2">
        <v>31.118587382999998</v>
      </c>
      <c r="DH42" s="2">
        <v>17.984814034999999</v>
      </c>
      <c r="DI42" s="2">
        <v>15.741225866000001</v>
      </c>
      <c r="DJ42" s="2">
        <v>10.443820970000001</v>
      </c>
      <c r="DK42" s="2">
        <v>9.5978283409999996</v>
      </c>
      <c r="DL42" s="2">
        <v>17.927135302</v>
      </c>
      <c r="DM42" s="2">
        <v>38.505632315</v>
      </c>
      <c r="DN42" s="2">
        <v>12.446714648999999</v>
      </c>
      <c r="DO42" s="2">
        <v>5.9952497600000001</v>
      </c>
      <c r="DP42" s="2">
        <v>8.1588182239999991</v>
      </c>
      <c r="DQ42" s="2">
        <v>22.246758934000002</v>
      </c>
      <c r="DR42" s="2">
        <v>10.393274259</v>
      </c>
      <c r="DS42" s="2">
        <v>7.6766350189999999</v>
      </c>
      <c r="DT42" s="2">
        <v>28.746580067</v>
      </c>
      <c r="DU42" s="2">
        <v>10.293574198</v>
      </c>
      <c r="DV42" s="2">
        <v>10.663384168</v>
      </c>
      <c r="DW42" s="2">
        <v>15.331757159</v>
      </c>
      <c r="DX42" s="2">
        <v>64.727829774</v>
      </c>
      <c r="DY42" s="2">
        <v>18.925449558</v>
      </c>
      <c r="DZ42" s="2">
        <v>20.039441258</v>
      </c>
      <c r="EA42" s="2">
        <v>11.320450824</v>
      </c>
      <c r="EB42" s="2">
        <v>14.1808645</v>
      </c>
      <c r="EC42" s="2">
        <v>18.446110840000003</v>
      </c>
      <c r="ED42" s="2">
        <v>61.606685468999999</v>
      </c>
      <c r="EE42" s="2">
        <v>17.397867418999997</v>
      </c>
      <c r="EF42" s="2">
        <v>18.559632159</v>
      </c>
      <c r="EG42" s="2">
        <v>11.004317279</v>
      </c>
      <c r="EH42" s="2">
        <v>18.351037889000001</v>
      </c>
      <c r="EI42" s="2">
        <v>12.916792959</v>
      </c>
      <c r="EJ42" s="2">
        <v>59.592590139000002</v>
      </c>
      <c r="EK42" s="2">
        <v>15.211980449999999</v>
      </c>
      <c r="EL42" s="2">
        <v>18.796133602999998</v>
      </c>
      <c r="EM42" s="2">
        <v>24.997578775000001</v>
      </c>
      <c r="EN42" s="2">
        <v>7.0991915829999996</v>
      </c>
      <c r="EO42" s="2">
        <v>17.982229571000001</v>
      </c>
      <c r="EP42" s="2">
        <v>58.307220506</v>
      </c>
      <c r="EQ42" s="2">
        <v>159.92412931199999</v>
      </c>
      <c r="ER42" s="2">
        <v>18.876722449000003</v>
      </c>
      <c r="ES42" s="2">
        <v>12.441411165</v>
      </c>
      <c r="ET42" s="2">
        <v>24.319250428</v>
      </c>
      <c r="EU42" s="2">
        <v>12.533274507</v>
      </c>
      <c r="EV42" s="2">
        <v>103.13370129899999</v>
      </c>
      <c r="EW42" s="2">
        <v>171.92829463200002</v>
      </c>
      <c r="EX42" s="2">
        <v>22.440171937999999</v>
      </c>
      <c r="EY42" s="2">
        <v>14.979530073999999</v>
      </c>
      <c r="EZ42" s="2">
        <v>35.733187804000003</v>
      </c>
      <c r="FA42" s="2">
        <v>10.471615963</v>
      </c>
      <c r="FB42" s="2">
        <v>306.15916345999995</v>
      </c>
      <c r="FC42" s="2">
        <v>5.1312937810000001</v>
      </c>
      <c r="FD42" s="2">
        <v>23.769017771999998</v>
      </c>
      <c r="FE42" s="2">
        <v>20.134603571</v>
      </c>
      <c r="FF42" s="2">
        <v>44.587755584</v>
      </c>
      <c r="FG42" s="2">
        <v>9.7688764050000003</v>
      </c>
      <c r="FH42" s="2">
        <v>282.36737619199999</v>
      </c>
      <c r="FI42" s="2">
        <v>32.554925351999998</v>
      </c>
      <c r="FJ42" s="2">
        <v>23.767123628</v>
      </c>
      <c r="FK42" s="2">
        <v>131.868002647</v>
      </c>
      <c r="FL42" s="2">
        <v>12.363726719000001</v>
      </c>
      <c r="FM42" s="2">
        <v>9.5991821609999999</v>
      </c>
      <c r="FN42" s="2">
        <v>291.31765923500001</v>
      </c>
      <c r="FO42" s="2">
        <v>5.09946389</v>
      </c>
      <c r="FP42" s="2">
        <v>26.285483273000001</v>
      </c>
      <c r="FQ42" s="2">
        <v>111.31637601199999</v>
      </c>
      <c r="FR42" s="2">
        <v>47.853563498</v>
      </c>
      <c r="FS42" s="2">
        <v>11.147170101</v>
      </c>
      <c r="FT42" s="2">
        <v>109.718072449</v>
      </c>
      <c r="FU42" s="2">
        <v>182.415137343</v>
      </c>
      <c r="FV42" s="2">
        <v>100.71085874799999</v>
      </c>
      <c r="FW42" s="2">
        <v>122.09561802500001</v>
      </c>
      <c r="FX42" s="2">
        <v>54.124673881</v>
      </c>
      <c r="FY42" s="2">
        <v>17.066129354000001</v>
      </c>
      <c r="FZ42" s="2">
        <v>110.92223192100001</v>
      </c>
      <c r="GA42" s="2">
        <v>174.30129578799998</v>
      </c>
      <c r="GB42" s="22">
        <v>101.118588995</v>
      </c>
      <c r="GC42" s="22">
        <v>124.44378256399999</v>
      </c>
      <c r="GD42" s="22">
        <v>59.406196096000002</v>
      </c>
      <c r="GE42" s="22">
        <v>10.825020336</v>
      </c>
      <c r="GF42" s="22">
        <v>111.861242108</v>
      </c>
      <c r="GG42" s="22">
        <v>185.69410464000001</v>
      </c>
      <c r="GH42" s="22">
        <v>207.27702584300002</v>
      </c>
      <c r="GI42" s="22">
        <v>150.216973852</v>
      </c>
      <c r="GJ42" s="22">
        <v>81.892704654999989</v>
      </c>
      <c r="GK42" s="22">
        <v>16.403285467</v>
      </c>
      <c r="GL42" s="23">
        <v>113.099278871</v>
      </c>
      <c r="GM42" s="23">
        <v>193.342403703</v>
      </c>
      <c r="GN42" s="23">
        <v>198.88434020499997</v>
      </c>
      <c r="GO42" s="23">
        <v>162.45447575899999</v>
      </c>
      <c r="GP42" s="23">
        <v>125.133426395</v>
      </c>
      <c r="GQ42" s="23">
        <v>13.259534938</v>
      </c>
      <c r="GR42" s="23">
        <v>113.976322706</v>
      </c>
      <c r="GS42" s="23">
        <v>287.254784148</v>
      </c>
      <c r="GT42" s="23">
        <v>261.81030897099998</v>
      </c>
      <c r="GU42" s="23">
        <v>164.45552259600001</v>
      </c>
      <c r="GV42" s="23">
        <v>107.30124033099999</v>
      </c>
      <c r="GW42" s="23">
        <v>5.2088888349999998</v>
      </c>
      <c r="GX42" s="23">
        <v>121.062899402</v>
      </c>
      <c r="GY42" s="23">
        <v>303.65326462999997</v>
      </c>
      <c r="GZ42" s="23">
        <v>329.92986420299997</v>
      </c>
      <c r="HA42" s="23">
        <v>160.50858897400002</v>
      </c>
      <c r="HB42" s="23">
        <v>112.408354837</v>
      </c>
      <c r="HC42" s="23">
        <v>11.310839103000001</v>
      </c>
      <c r="HD42" s="23">
        <v>126.872863438</v>
      </c>
      <c r="HE42" s="23">
        <v>220.78500610999998</v>
      </c>
      <c r="HF42" s="23"/>
      <c r="HG42" s="23"/>
      <c r="HH42" s="23"/>
      <c r="HI42" s="23"/>
    </row>
    <row r="43" spans="1:217">
      <c r="A43" s="47" t="s">
        <v>76</v>
      </c>
      <c r="B43" s="2">
        <v>0.36578649800000002</v>
      </c>
      <c r="C43" s="2">
        <v>2.8984513989999998</v>
      </c>
      <c r="D43" s="2">
        <v>1.8426203029999999</v>
      </c>
      <c r="E43" s="2">
        <v>2.181940897</v>
      </c>
      <c r="F43" s="2">
        <v>7.4578085430000005</v>
      </c>
      <c r="G43" s="2">
        <v>12.203503446999999</v>
      </c>
      <c r="H43" s="2">
        <v>13.859060648</v>
      </c>
      <c r="I43" s="2">
        <v>0.87416105200000005</v>
      </c>
      <c r="J43" s="2">
        <v>0.25247481500000002</v>
      </c>
      <c r="K43" s="2">
        <v>3.3730925040000002</v>
      </c>
      <c r="L43" s="2">
        <v>7.0691719500000003</v>
      </c>
      <c r="M43" s="2">
        <v>5.2623806160000006</v>
      </c>
      <c r="N43" s="2">
        <v>0</v>
      </c>
      <c r="O43" s="2">
        <v>0</v>
      </c>
      <c r="P43" s="2">
        <v>0.28499999999999998</v>
      </c>
      <c r="Q43" s="2">
        <v>0</v>
      </c>
      <c r="R43" s="2">
        <v>7.9984453340000004</v>
      </c>
      <c r="S43" s="2">
        <v>8.9507374359999989</v>
      </c>
      <c r="T43" s="2">
        <v>0.49215109699999998</v>
      </c>
      <c r="U43" s="2">
        <v>27.783860783000002</v>
      </c>
      <c r="V43" s="2">
        <v>0</v>
      </c>
      <c r="W43" s="2">
        <v>8.4934272740000001</v>
      </c>
      <c r="X43" s="2">
        <v>3.8411967890000001</v>
      </c>
      <c r="Y43" s="2">
        <v>9.8898608600000006</v>
      </c>
      <c r="Z43" s="2">
        <v>0</v>
      </c>
      <c r="AA43" s="2">
        <v>8.2788704559999999</v>
      </c>
      <c r="AB43" s="2">
        <v>0.09</v>
      </c>
      <c r="AC43" s="2">
        <v>31.281939346999998</v>
      </c>
      <c r="AD43" s="2">
        <v>6.0397501819999997</v>
      </c>
      <c r="AE43" s="2">
        <v>0</v>
      </c>
      <c r="AF43" s="2">
        <v>3.6738836429999999</v>
      </c>
      <c r="AG43" s="2">
        <v>4.4841896100000005</v>
      </c>
      <c r="AH43" s="2">
        <v>3.4122732</v>
      </c>
      <c r="AI43" s="2">
        <v>0</v>
      </c>
      <c r="AJ43" s="2">
        <v>12.292619326000001</v>
      </c>
      <c r="AK43" s="2">
        <v>14.178692093</v>
      </c>
      <c r="AL43" s="2">
        <v>3.5843526059999999</v>
      </c>
      <c r="AM43" s="2">
        <v>1.2107794999999999E-2</v>
      </c>
      <c r="AN43" s="2">
        <v>9.7259338169999996</v>
      </c>
      <c r="AO43" s="2">
        <v>7.6751717689999994</v>
      </c>
      <c r="AP43" s="2">
        <v>0</v>
      </c>
      <c r="AQ43" s="2">
        <v>4.3072355580000004</v>
      </c>
      <c r="AR43" s="2">
        <v>1.7</v>
      </c>
      <c r="AS43" s="2">
        <v>0</v>
      </c>
      <c r="AT43" s="2">
        <v>6.9040514829999999</v>
      </c>
      <c r="AU43" s="2">
        <v>6.0154374310000005</v>
      </c>
      <c r="AV43" s="2">
        <v>7.7464351310000001</v>
      </c>
      <c r="AW43" s="2">
        <v>5.9295859750000002</v>
      </c>
      <c r="AX43" s="2">
        <v>0</v>
      </c>
      <c r="AY43" s="2">
        <v>0</v>
      </c>
      <c r="AZ43" s="2">
        <v>7.8716460589999997</v>
      </c>
      <c r="BA43" s="2">
        <v>1.168864608</v>
      </c>
      <c r="BB43" s="2">
        <v>5.9626024500000003</v>
      </c>
      <c r="BC43" s="2">
        <v>0</v>
      </c>
      <c r="BD43" s="2">
        <v>12.777723437000001</v>
      </c>
      <c r="BE43" s="2">
        <v>6.8900265019999996</v>
      </c>
      <c r="BF43" s="2">
        <v>3.1197092409999998</v>
      </c>
      <c r="BG43" s="2">
        <v>0</v>
      </c>
      <c r="BH43" s="2">
        <v>9.4680302239999996</v>
      </c>
      <c r="BI43" s="2">
        <v>23.820821499000001</v>
      </c>
      <c r="BJ43" s="2">
        <v>0.56415486599999998</v>
      </c>
      <c r="BK43" s="2">
        <v>6.9644876999999994E-2</v>
      </c>
      <c r="BL43" s="2">
        <v>12.148289237</v>
      </c>
      <c r="BM43" s="2">
        <v>8.5892411209999988</v>
      </c>
      <c r="BN43" s="2">
        <v>3.8418685789999998</v>
      </c>
      <c r="BO43" s="2">
        <v>20.716953281999999</v>
      </c>
      <c r="BP43" s="2">
        <v>0.94935077599999995</v>
      </c>
      <c r="BQ43" s="2">
        <v>4.4176357999999999E-2</v>
      </c>
      <c r="BR43" s="2">
        <v>18.341749480999997</v>
      </c>
      <c r="BS43" s="2">
        <v>6.8097019999999999E-3</v>
      </c>
      <c r="BT43" s="2">
        <v>0.26490271599999998</v>
      </c>
      <c r="BU43" s="2">
        <v>29.695314998000001</v>
      </c>
      <c r="BV43" s="2">
        <v>1.3312213E-2</v>
      </c>
      <c r="BW43" s="2">
        <v>4.6032546000000001E-2</v>
      </c>
      <c r="BX43" s="2">
        <v>0</v>
      </c>
      <c r="BY43" s="2">
        <v>14.345469913999999</v>
      </c>
      <c r="BZ43" s="2">
        <v>0.13876274599999999</v>
      </c>
      <c r="CA43" s="2">
        <v>28.393652871999997</v>
      </c>
      <c r="CB43" s="2">
        <v>0.45787053700000002</v>
      </c>
      <c r="CC43" s="2">
        <v>3.7283283E-2</v>
      </c>
      <c r="CD43" s="2">
        <v>0.33131332400000002</v>
      </c>
      <c r="CE43" s="2">
        <v>21.087626425</v>
      </c>
      <c r="CF43" s="2">
        <v>6.5029068570000002</v>
      </c>
      <c r="CG43" s="2">
        <v>28.675012471999999</v>
      </c>
      <c r="CH43" s="2">
        <v>0</v>
      </c>
      <c r="CI43" s="2">
        <v>0</v>
      </c>
      <c r="CJ43" s="2">
        <v>13.998121991</v>
      </c>
      <c r="CK43" s="2">
        <v>0</v>
      </c>
      <c r="CL43" s="2">
        <v>23.308428070000001</v>
      </c>
      <c r="CM43" s="2">
        <v>0.52447677399999992</v>
      </c>
      <c r="CN43" s="2">
        <v>0</v>
      </c>
      <c r="CO43" s="2">
        <v>2.1845590000000002E-2</v>
      </c>
      <c r="CP43" s="2">
        <v>8.5520060529999995</v>
      </c>
      <c r="CQ43" s="2">
        <v>29.371639001999998</v>
      </c>
      <c r="CR43" s="2">
        <v>20.442659376999998</v>
      </c>
      <c r="CS43" s="2">
        <v>15.863581594999999</v>
      </c>
      <c r="CT43" s="2">
        <v>0</v>
      </c>
      <c r="CU43" s="2">
        <v>1.4099565E-2</v>
      </c>
      <c r="CV43" s="2">
        <v>27.402816035000001</v>
      </c>
      <c r="CW43" s="2">
        <v>7.4383562E-2</v>
      </c>
      <c r="CX43" s="2">
        <v>9.3392860209999995</v>
      </c>
      <c r="CY43" s="2">
        <v>1.6196640369999999</v>
      </c>
      <c r="CZ43" s="2">
        <v>0</v>
      </c>
      <c r="DA43" s="2">
        <v>5.2855590000000004E-3</v>
      </c>
      <c r="DB43" s="2">
        <v>19.279397199999998</v>
      </c>
      <c r="DC43" s="2">
        <v>0.112065804</v>
      </c>
      <c r="DD43" s="2">
        <v>4.2284345620000003</v>
      </c>
      <c r="DE43" s="2">
        <v>9.2850422450000014</v>
      </c>
      <c r="DF43" s="2">
        <v>0</v>
      </c>
      <c r="DG43" s="2">
        <v>0</v>
      </c>
      <c r="DH43" s="2">
        <v>17.398524587000001</v>
      </c>
      <c r="DI43" s="2">
        <v>4.4754099999999998E-2</v>
      </c>
      <c r="DJ43" s="2">
        <v>4.1793896259999999</v>
      </c>
      <c r="DK43" s="2">
        <v>1.5554424069999999</v>
      </c>
      <c r="DL43" s="2">
        <v>0</v>
      </c>
      <c r="DM43" s="2">
        <v>1.3341903E-2</v>
      </c>
      <c r="DN43" s="2">
        <v>27.313082961999999</v>
      </c>
      <c r="DO43" s="2">
        <v>5.2413928040000002</v>
      </c>
      <c r="DP43" s="2">
        <v>0.162011398</v>
      </c>
      <c r="DQ43" s="2">
        <v>2.2949048349999996</v>
      </c>
      <c r="DR43" s="2">
        <v>9.3873658190000011</v>
      </c>
      <c r="DS43" s="2">
        <v>0</v>
      </c>
      <c r="DT43" s="2">
        <v>34.024237545999995</v>
      </c>
      <c r="DU43" s="2">
        <v>3.2808495440000001</v>
      </c>
      <c r="DV43" s="2">
        <v>9.8783311820000002</v>
      </c>
      <c r="DW43" s="2">
        <v>1.556016302</v>
      </c>
      <c r="DX43" s="2">
        <v>9.3763416809999995</v>
      </c>
      <c r="DY43" s="2">
        <v>0</v>
      </c>
      <c r="DZ43" s="2">
        <v>52.134558383000005</v>
      </c>
      <c r="EA43" s="2">
        <v>3.2855935340000002</v>
      </c>
      <c r="EB43" s="2">
        <v>13.930633947</v>
      </c>
      <c r="EC43" s="2">
        <v>48.422243863000006</v>
      </c>
      <c r="ED43" s="2">
        <v>9.3873658190000011</v>
      </c>
      <c r="EE43" s="2">
        <v>0</v>
      </c>
      <c r="EF43" s="2">
        <v>50.537381365999998</v>
      </c>
      <c r="EG43" s="2">
        <v>3.2562500000000001</v>
      </c>
      <c r="EH43" s="2">
        <v>9.3776264299999994</v>
      </c>
      <c r="EI43" s="2">
        <v>12.423546064</v>
      </c>
      <c r="EJ43" s="2">
        <v>11.910188257</v>
      </c>
      <c r="EK43" s="2">
        <v>38.927754573000001</v>
      </c>
      <c r="EL43" s="2">
        <v>48.157517310000003</v>
      </c>
      <c r="EM43" s="2">
        <v>10.398778723</v>
      </c>
      <c r="EN43" s="2">
        <v>8.9777148929999999</v>
      </c>
      <c r="EO43" s="2">
        <v>39.841994598999996</v>
      </c>
      <c r="EP43" s="2">
        <v>0</v>
      </c>
      <c r="EQ43" s="2">
        <v>36.18985</v>
      </c>
      <c r="ER43" s="2">
        <v>47.351678536000001</v>
      </c>
      <c r="ES43" s="2">
        <v>3.3020309060000002</v>
      </c>
      <c r="ET43" s="2">
        <v>7.7601278560000004</v>
      </c>
      <c r="EU43" s="2">
        <v>12.928296716</v>
      </c>
      <c r="EV43" s="2">
        <v>36.633426153999999</v>
      </c>
      <c r="EW43" s="2">
        <v>36.18985</v>
      </c>
      <c r="EX43" s="2">
        <v>38.344282194999998</v>
      </c>
      <c r="EY43" s="2">
        <v>3.7459536349999998</v>
      </c>
      <c r="EZ43" s="2">
        <v>8.1079564299999998</v>
      </c>
      <c r="FA43" s="2">
        <v>17.708756815000001</v>
      </c>
      <c r="FB43" s="2">
        <v>29.682920500000002</v>
      </c>
      <c r="FC43" s="2">
        <v>36.18985</v>
      </c>
      <c r="FD43" s="2">
        <v>35.464236647</v>
      </c>
      <c r="FE43" s="2">
        <v>2.635995372</v>
      </c>
      <c r="FF43" s="2">
        <v>18.515743509</v>
      </c>
      <c r="FG43" s="2">
        <v>1.6463623559999998</v>
      </c>
      <c r="FH43" s="2">
        <v>40.730654762999997</v>
      </c>
      <c r="FI43" s="2">
        <v>31.915432802999998</v>
      </c>
      <c r="FJ43" s="2">
        <v>24.241743917000001</v>
      </c>
      <c r="FK43" s="2">
        <v>2.6435773250000003</v>
      </c>
      <c r="FL43" s="2">
        <v>8.8369189909999992</v>
      </c>
      <c r="FM43" s="2">
        <v>16.869016293000001</v>
      </c>
      <c r="FN43" s="2">
        <v>26.608627432000002</v>
      </c>
      <c r="FO43" s="2">
        <v>31.898148196999998</v>
      </c>
      <c r="FP43" s="2">
        <v>20.328027842000001</v>
      </c>
      <c r="FQ43" s="2">
        <v>2.4350159859999998</v>
      </c>
      <c r="FR43" s="2">
        <v>5.0249128270000005</v>
      </c>
      <c r="FS43" s="2">
        <v>6.6630570159999998</v>
      </c>
      <c r="FT43" s="2">
        <v>40.325639222</v>
      </c>
      <c r="FU43" s="2">
        <v>15.353752013999999</v>
      </c>
      <c r="FV43" s="2">
        <v>16.467926984999998</v>
      </c>
      <c r="FW43" s="2">
        <v>2.34</v>
      </c>
      <c r="FX43" s="2">
        <v>17.793788427999999</v>
      </c>
      <c r="FY43" s="2">
        <v>11.977864797000001</v>
      </c>
      <c r="FZ43" s="2">
        <v>39.918027432000002</v>
      </c>
      <c r="GA43" s="2">
        <v>15.250044381</v>
      </c>
      <c r="GB43" s="22">
        <v>11.108089486000001</v>
      </c>
      <c r="GC43" s="22">
        <v>20.352124377999999</v>
      </c>
      <c r="GD43" s="22">
        <v>12.915670864999999</v>
      </c>
      <c r="GE43" s="22">
        <v>4.2029282210000005</v>
      </c>
      <c r="GF43" s="22">
        <v>36.503820472000001</v>
      </c>
      <c r="GG43" s="22">
        <v>9.0529366190000005</v>
      </c>
      <c r="GH43" s="22">
        <v>4.4117233699999998</v>
      </c>
      <c r="GI43" s="22">
        <v>0.15307171999999999</v>
      </c>
      <c r="GJ43" s="22">
        <v>38.276287670999999</v>
      </c>
      <c r="GK43" s="22">
        <v>22.974484219000001</v>
      </c>
      <c r="GL43" s="23">
        <v>22.619127432000003</v>
      </c>
      <c r="GM43" s="23">
        <v>8.9665135920000001</v>
      </c>
      <c r="GN43" s="23">
        <v>3.7927894320000002</v>
      </c>
      <c r="GO43" s="23">
        <v>5.2926418709999998</v>
      </c>
      <c r="GP43" s="23">
        <v>46.369238942999999</v>
      </c>
      <c r="GQ43" s="23">
        <v>10.692417327999999</v>
      </c>
      <c r="GR43" s="23">
        <v>27.568444527</v>
      </c>
      <c r="GS43" s="23">
        <v>9.035961112999999</v>
      </c>
      <c r="GT43" s="23">
        <v>3.8777998450000002</v>
      </c>
      <c r="GU43" s="23">
        <v>43.731660499999997</v>
      </c>
      <c r="GV43" s="23">
        <v>12.906297306000001</v>
      </c>
      <c r="GW43" s="23">
        <v>20.531322824</v>
      </c>
      <c r="GX43" s="23">
        <v>14.289216473</v>
      </c>
      <c r="GY43" s="23">
        <v>14.152012514000001</v>
      </c>
      <c r="GZ43" s="23">
        <v>1.8162680680000001</v>
      </c>
      <c r="HA43" s="23">
        <v>7.9602504999999999</v>
      </c>
      <c r="HB43" s="23">
        <v>53.681910000000002</v>
      </c>
      <c r="HC43" s="23">
        <v>15.277113896000001</v>
      </c>
      <c r="HD43" s="23">
        <v>11.339831342</v>
      </c>
      <c r="HE43" s="23">
        <v>13.746973482</v>
      </c>
      <c r="HF43" s="23"/>
      <c r="HG43" s="23"/>
      <c r="HH43" s="23"/>
      <c r="HI43" s="23"/>
    </row>
    <row r="44" spans="1:217">
      <c r="A44" s="29" t="s">
        <v>77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2">
        <v>0</v>
      </c>
      <c r="GC44" s="22">
        <v>0</v>
      </c>
      <c r="GD44" s="22">
        <v>0</v>
      </c>
      <c r="GE44" s="22">
        <v>0</v>
      </c>
      <c r="GF44" s="22">
        <v>0</v>
      </c>
      <c r="GG44" s="22">
        <v>0</v>
      </c>
      <c r="GH44" s="22">
        <v>0</v>
      </c>
      <c r="GI44" s="22">
        <v>0</v>
      </c>
      <c r="GJ44" s="22">
        <v>0</v>
      </c>
      <c r="GK44" s="22">
        <v>0</v>
      </c>
      <c r="GL44" s="23">
        <v>0</v>
      </c>
      <c r="GM44" s="23">
        <v>0</v>
      </c>
      <c r="GN44" s="23">
        <v>0</v>
      </c>
      <c r="GO44" s="23">
        <v>0</v>
      </c>
      <c r="GP44" s="23">
        <v>0</v>
      </c>
      <c r="GQ44" s="23">
        <v>0</v>
      </c>
      <c r="GR44" s="23">
        <v>0</v>
      </c>
      <c r="GS44" s="23">
        <v>0</v>
      </c>
      <c r="GT44" s="23">
        <v>0</v>
      </c>
      <c r="GU44" s="23">
        <v>0</v>
      </c>
      <c r="GV44" s="23">
        <v>0</v>
      </c>
      <c r="GW44" s="23">
        <v>0</v>
      </c>
      <c r="GX44" s="23">
        <v>0</v>
      </c>
      <c r="GY44" s="23">
        <v>0</v>
      </c>
      <c r="GZ44" s="23">
        <v>0</v>
      </c>
      <c r="HA44" s="23">
        <v>0</v>
      </c>
      <c r="HB44" s="23">
        <v>0</v>
      </c>
      <c r="HC44" s="23">
        <v>0</v>
      </c>
      <c r="HD44" s="23">
        <v>0</v>
      </c>
      <c r="HE44" s="23">
        <v>0</v>
      </c>
      <c r="HF44" s="23"/>
      <c r="HG44" s="23"/>
      <c r="HH44" s="23"/>
      <c r="HI44" s="23"/>
    </row>
    <row r="45" spans="1:217">
      <c r="A45" s="29" t="s">
        <v>10</v>
      </c>
      <c r="B45" s="2">
        <v>16.948533831999999</v>
      </c>
      <c r="C45" s="2">
        <v>20.394368132999997</v>
      </c>
      <c r="D45" s="2">
        <v>35.348987037999997</v>
      </c>
      <c r="E45" s="2">
        <v>32.908623631000005</v>
      </c>
      <c r="F45" s="2">
        <v>44.055768280999999</v>
      </c>
      <c r="G45" s="2">
        <v>49.244186841000001</v>
      </c>
      <c r="H45" s="2">
        <v>49.688204464999998</v>
      </c>
      <c r="I45" s="2">
        <v>26.217447936000003</v>
      </c>
      <c r="J45" s="2">
        <v>38.407108325999999</v>
      </c>
      <c r="K45" s="2">
        <v>53.504472591000003</v>
      </c>
      <c r="L45" s="2">
        <v>56.386418947999999</v>
      </c>
      <c r="M45" s="2">
        <v>140.81332075500001</v>
      </c>
      <c r="N45" s="2">
        <v>15.525228144000002</v>
      </c>
      <c r="O45" s="2">
        <v>24.302487460999998</v>
      </c>
      <c r="P45" s="2">
        <v>28.800872961999996</v>
      </c>
      <c r="Q45" s="2">
        <v>36.052671164000003</v>
      </c>
      <c r="R45" s="2">
        <v>51.429796720999995</v>
      </c>
      <c r="S45" s="2">
        <v>45.030755835999997</v>
      </c>
      <c r="T45" s="2">
        <v>56.519238518000002</v>
      </c>
      <c r="U45" s="2">
        <v>75.959006198000012</v>
      </c>
      <c r="V45" s="2">
        <v>69.218971386000007</v>
      </c>
      <c r="W45" s="2">
        <v>91.991798783999997</v>
      </c>
      <c r="X45" s="2">
        <v>58.136774639999999</v>
      </c>
      <c r="Y45" s="2">
        <v>137.70022418600001</v>
      </c>
      <c r="Z45" s="2">
        <v>8.2530983500000001</v>
      </c>
      <c r="AA45" s="2">
        <v>68.056514777000004</v>
      </c>
      <c r="AB45" s="2">
        <v>54.259594648999993</v>
      </c>
      <c r="AC45" s="2">
        <v>67.55992336700001</v>
      </c>
      <c r="AD45" s="2">
        <v>74.641495791000011</v>
      </c>
      <c r="AE45" s="2">
        <v>75.794565610999996</v>
      </c>
      <c r="AF45" s="2">
        <v>95.439457969000003</v>
      </c>
      <c r="AG45" s="2">
        <v>84.770226942000022</v>
      </c>
      <c r="AH45" s="2">
        <v>86.693289184999983</v>
      </c>
      <c r="AI45" s="2">
        <v>101.860255499</v>
      </c>
      <c r="AJ45" s="2">
        <v>120.467638358</v>
      </c>
      <c r="AK45" s="2">
        <v>134.88374772499998</v>
      </c>
      <c r="AL45" s="2">
        <v>24.842391468000002</v>
      </c>
      <c r="AM45" s="2">
        <v>36.557931701000001</v>
      </c>
      <c r="AN45" s="2">
        <v>60.242387827999998</v>
      </c>
      <c r="AO45" s="2">
        <v>81.273563254999999</v>
      </c>
      <c r="AP45" s="2">
        <v>80.983466334999989</v>
      </c>
      <c r="AQ45" s="2">
        <v>113.864130014</v>
      </c>
      <c r="AR45" s="2">
        <v>88.617685749999993</v>
      </c>
      <c r="AS45" s="2">
        <v>92.477829291999996</v>
      </c>
      <c r="AT45" s="2">
        <v>112.046044952</v>
      </c>
      <c r="AU45" s="2">
        <v>83.281230261000005</v>
      </c>
      <c r="AV45" s="2">
        <v>70.032494661000001</v>
      </c>
      <c r="AW45" s="2">
        <v>271.01056955799999</v>
      </c>
      <c r="AX45" s="2">
        <v>26.072562599999998</v>
      </c>
      <c r="AY45" s="2">
        <v>58.804678139000004</v>
      </c>
      <c r="AZ45" s="2">
        <v>76.981805264000002</v>
      </c>
      <c r="BA45" s="2">
        <v>75.847540413000004</v>
      </c>
      <c r="BB45" s="2">
        <v>96.035936640000003</v>
      </c>
      <c r="BC45" s="2">
        <v>92.225887829000001</v>
      </c>
      <c r="BD45" s="2">
        <v>108.953574194</v>
      </c>
      <c r="BE45" s="2">
        <v>130.15392419200001</v>
      </c>
      <c r="BF45" s="2">
        <v>112.404600065</v>
      </c>
      <c r="BG45" s="2">
        <v>124.82079412300001</v>
      </c>
      <c r="BH45" s="2">
        <v>144.18320740500002</v>
      </c>
      <c r="BI45" s="2">
        <v>226.53153421300001</v>
      </c>
      <c r="BJ45" s="2">
        <v>37.384915192999998</v>
      </c>
      <c r="BK45" s="2">
        <v>111.50272481399999</v>
      </c>
      <c r="BL45" s="2">
        <v>135.91585269100003</v>
      </c>
      <c r="BM45" s="2">
        <v>156.952720535</v>
      </c>
      <c r="BN45" s="2">
        <v>87.694756731999988</v>
      </c>
      <c r="BO45" s="2">
        <v>102.06744179899999</v>
      </c>
      <c r="BP45" s="2">
        <v>113.56412853800001</v>
      </c>
      <c r="BQ45" s="2">
        <v>85.055431069000008</v>
      </c>
      <c r="BR45" s="2">
        <v>125.062600217</v>
      </c>
      <c r="BS45" s="2">
        <v>106.16197482100002</v>
      </c>
      <c r="BT45" s="2">
        <v>114.50930517799999</v>
      </c>
      <c r="BU45" s="2">
        <v>277.38971373599998</v>
      </c>
      <c r="BV45" s="2">
        <v>41.554823604999996</v>
      </c>
      <c r="BW45" s="2">
        <v>93.600041812000015</v>
      </c>
      <c r="BX45" s="2">
        <v>203.18893411600001</v>
      </c>
      <c r="BY45" s="2">
        <v>142.18233474600001</v>
      </c>
      <c r="BZ45" s="2">
        <v>143.92570063800002</v>
      </c>
      <c r="CA45" s="2">
        <v>144.30582470300001</v>
      </c>
      <c r="CB45" s="2">
        <v>146.65849052900001</v>
      </c>
      <c r="CC45" s="2">
        <v>158.96141284299998</v>
      </c>
      <c r="CD45" s="2">
        <v>168.44981281999998</v>
      </c>
      <c r="CE45" s="2">
        <v>263.04619725600003</v>
      </c>
      <c r="CF45" s="2">
        <v>190.86915646599999</v>
      </c>
      <c r="CG45" s="2">
        <v>366.07967651399997</v>
      </c>
      <c r="CH45" s="2">
        <v>45.020723035000003</v>
      </c>
      <c r="CI45" s="2">
        <v>112.04403393500002</v>
      </c>
      <c r="CJ45" s="2">
        <v>110.31340942899999</v>
      </c>
      <c r="CK45" s="2">
        <v>118.55509077800001</v>
      </c>
      <c r="CL45" s="2">
        <v>111.681231516</v>
      </c>
      <c r="CM45" s="2">
        <v>327.57747591600003</v>
      </c>
      <c r="CN45" s="2">
        <v>150.17702791400001</v>
      </c>
      <c r="CO45" s="2">
        <v>161.05838307299999</v>
      </c>
      <c r="CP45" s="2">
        <v>134.73444554</v>
      </c>
      <c r="CQ45" s="2">
        <v>88.925830262000019</v>
      </c>
      <c r="CR45" s="2">
        <v>236.24056869600003</v>
      </c>
      <c r="CS45" s="2">
        <v>347.78957978699998</v>
      </c>
      <c r="CT45" s="2">
        <v>69.814233797</v>
      </c>
      <c r="CU45" s="2">
        <v>113.56076380099998</v>
      </c>
      <c r="CV45" s="2">
        <v>251.88737192200003</v>
      </c>
      <c r="CW45" s="2">
        <v>180.04681581</v>
      </c>
      <c r="CX45" s="2">
        <v>199.15728811800003</v>
      </c>
      <c r="CY45" s="2">
        <v>220.50434337600004</v>
      </c>
      <c r="CZ45" s="2">
        <v>233.117887575</v>
      </c>
      <c r="DA45" s="2">
        <v>304.30410273500001</v>
      </c>
      <c r="DB45" s="2">
        <v>161.01425999</v>
      </c>
      <c r="DC45" s="2">
        <v>206.34360493299999</v>
      </c>
      <c r="DD45" s="2">
        <v>187.81655576599996</v>
      </c>
      <c r="DE45" s="2">
        <v>657.626758784</v>
      </c>
      <c r="DF45" s="2">
        <v>14.401702405</v>
      </c>
      <c r="DG45" s="2">
        <v>325.69627418499999</v>
      </c>
      <c r="DH45" s="2">
        <v>305.19501156200005</v>
      </c>
      <c r="DI45" s="2">
        <v>380.17971112099997</v>
      </c>
      <c r="DJ45" s="2">
        <v>368.32427171300003</v>
      </c>
      <c r="DK45" s="2">
        <v>282.17937914800001</v>
      </c>
      <c r="DL45" s="2">
        <v>317.62257606499998</v>
      </c>
      <c r="DM45" s="2">
        <v>252.05201273999998</v>
      </c>
      <c r="DN45" s="2">
        <v>158.88459903700002</v>
      </c>
      <c r="DO45" s="2">
        <v>283.86991055900006</v>
      </c>
      <c r="DP45" s="2">
        <v>645.16858537499991</v>
      </c>
      <c r="DQ45" s="2">
        <v>466.04882959400004</v>
      </c>
      <c r="DR45" s="2">
        <v>437.68385763300012</v>
      </c>
      <c r="DS45" s="2">
        <v>333.17024232999995</v>
      </c>
      <c r="DT45" s="2">
        <v>321.45089283700003</v>
      </c>
      <c r="DU45" s="2">
        <v>262.74505926500001</v>
      </c>
      <c r="DV45" s="2">
        <v>300.13471602199996</v>
      </c>
      <c r="DW45" s="2">
        <v>224.896851021</v>
      </c>
      <c r="DX45" s="2">
        <v>255.30266477700002</v>
      </c>
      <c r="DY45" s="2">
        <v>214.30844021899998</v>
      </c>
      <c r="DZ45" s="2">
        <v>243.18739838400001</v>
      </c>
      <c r="EA45" s="2">
        <v>259.66013497599999</v>
      </c>
      <c r="EB45" s="2">
        <v>255.64611572399997</v>
      </c>
      <c r="EC45" s="2">
        <v>604.29916230699996</v>
      </c>
      <c r="ED45" s="2">
        <v>145.00294764100002</v>
      </c>
      <c r="EE45" s="2">
        <v>450.44986755999997</v>
      </c>
      <c r="EF45" s="2">
        <v>333.46315081000006</v>
      </c>
      <c r="EG45" s="2">
        <v>259.60300202800005</v>
      </c>
      <c r="EH45" s="2">
        <v>283.73902603599998</v>
      </c>
      <c r="EI45" s="2">
        <v>548.31195986300008</v>
      </c>
      <c r="EJ45" s="2">
        <v>449.90764220999995</v>
      </c>
      <c r="EK45" s="2">
        <v>302.259772387</v>
      </c>
      <c r="EL45" s="2">
        <v>320.85291607700003</v>
      </c>
      <c r="EM45" s="2">
        <v>281.337581333</v>
      </c>
      <c r="EN45" s="2">
        <v>432.36607283900003</v>
      </c>
      <c r="EO45" s="2">
        <v>473.51986421400005</v>
      </c>
      <c r="EP45" s="2">
        <v>163.70640595499998</v>
      </c>
      <c r="EQ45" s="2">
        <v>310.42193658100001</v>
      </c>
      <c r="ER45" s="2">
        <v>370.78635034999996</v>
      </c>
      <c r="ES45" s="2">
        <v>312.17633040999999</v>
      </c>
      <c r="ET45" s="2">
        <v>329.58721653999999</v>
      </c>
      <c r="EU45" s="2">
        <v>491.07154408699995</v>
      </c>
      <c r="EV45" s="2">
        <v>575.63692978300003</v>
      </c>
      <c r="EW45" s="2">
        <v>338.24739457899994</v>
      </c>
      <c r="EX45" s="2">
        <v>358.78424022499996</v>
      </c>
      <c r="EY45" s="2">
        <v>259.29397415300002</v>
      </c>
      <c r="EZ45" s="2">
        <v>299.22473196700003</v>
      </c>
      <c r="FA45" s="2">
        <v>615.04317056899993</v>
      </c>
      <c r="FB45" s="48">
        <v>255.85564789399999</v>
      </c>
      <c r="FC45" s="48">
        <v>576.48235894000004</v>
      </c>
      <c r="FD45" s="48">
        <v>373.11395542700001</v>
      </c>
      <c r="FE45" s="48">
        <v>331.37722629799998</v>
      </c>
      <c r="FF45" s="48">
        <v>374.75303312999995</v>
      </c>
      <c r="FG45" s="48">
        <v>348.70485776200002</v>
      </c>
      <c r="FH45" s="48">
        <v>321.222109612</v>
      </c>
      <c r="FI45" s="48">
        <v>312.47085039299998</v>
      </c>
      <c r="FJ45" s="48">
        <v>445.57430110299998</v>
      </c>
      <c r="FK45" s="48">
        <v>334.80513602799999</v>
      </c>
      <c r="FL45" s="48">
        <v>294.60611304600008</v>
      </c>
      <c r="FM45" s="48">
        <v>447.66397796399997</v>
      </c>
      <c r="FN45" s="48">
        <v>518.481780641</v>
      </c>
      <c r="FO45" s="48">
        <v>288.60883006499995</v>
      </c>
      <c r="FP45" s="48">
        <v>361.61742580500004</v>
      </c>
      <c r="FQ45" s="48">
        <v>532.58294263200003</v>
      </c>
      <c r="FR45" s="48">
        <v>353.02170198599998</v>
      </c>
      <c r="FS45" s="48">
        <v>343.74254986999995</v>
      </c>
      <c r="FT45" s="48">
        <v>353.82573100100001</v>
      </c>
      <c r="FU45" s="48">
        <v>339.26632138499997</v>
      </c>
      <c r="FV45" s="48">
        <v>350.98896285000001</v>
      </c>
      <c r="FW45" s="48">
        <v>371.66067991400001</v>
      </c>
      <c r="FX45" s="48">
        <v>392.88282687100002</v>
      </c>
      <c r="FY45" s="48">
        <v>443.08974065400002</v>
      </c>
      <c r="FZ45" s="48">
        <v>128.55491450700001</v>
      </c>
      <c r="GA45" s="48">
        <v>598.01845786000001</v>
      </c>
      <c r="GB45" s="22">
        <v>427.15604781399992</v>
      </c>
      <c r="GC45" s="22">
        <v>414.17958677899998</v>
      </c>
      <c r="GD45" s="22">
        <v>352.48592491299996</v>
      </c>
      <c r="GE45" s="22">
        <v>368.50487381500005</v>
      </c>
      <c r="GF45" s="22">
        <v>434.36753413899999</v>
      </c>
      <c r="GG45" s="22">
        <v>328.58773808299998</v>
      </c>
      <c r="GH45" s="22">
        <v>327.10826591899996</v>
      </c>
      <c r="GI45" s="22">
        <v>426.20805327900001</v>
      </c>
      <c r="GJ45" s="22">
        <v>435.11202976600003</v>
      </c>
      <c r="GK45" s="22">
        <v>555.39615908499991</v>
      </c>
      <c r="GL45" s="23">
        <v>264.65129009499998</v>
      </c>
      <c r="GM45" s="23">
        <v>457.61682566899998</v>
      </c>
      <c r="GN45" s="23">
        <v>498.50771384400008</v>
      </c>
      <c r="GO45" s="23">
        <v>358.43382038799996</v>
      </c>
      <c r="GP45" s="23">
        <v>479.88543958700001</v>
      </c>
      <c r="GQ45" s="23">
        <v>363.79653158299999</v>
      </c>
      <c r="GR45" s="23">
        <v>377.14054980999998</v>
      </c>
      <c r="GS45" s="23">
        <v>356.06154876799997</v>
      </c>
      <c r="GT45" s="23">
        <v>313.94931373700001</v>
      </c>
      <c r="GU45" s="23">
        <v>340.65104509999998</v>
      </c>
      <c r="GV45" s="23">
        <v>370.57313693999998</v>
      </c>
      <c r="GW45" s="23">
        <v>542.10683839099988</v>
      </c>
      <c r="GX45" s="23">
        <v>305.35630844599996</v>
      </c>
      <c r="GY45" s="23">
        <v>318.92269044900002</v>
      </c>
      <c r="GZ45" s="23">
        <v>349.75021752300006</v>
      </c>
      <c r="HA45" s="23">
        <v>356.70846973199997</v>
      </c>
      <c r="HB45" s="23">
        <v>333.82637938300002</v>
      </c>
      <c r="HC45" s="23">
        <v>317.76314457900003</v>
      </c>
      <c r="HD45" s="23">
        <v>402.602040354</v>
      </c>
      <c r="HE45" s="23">
        <v>377.13296719700008</v>
      </c>
      <c r="HF45" s="23"/>
      <c r="HG45" s="23"/>
      <c r="HH45" s="23"/>
      <c r="HI45" s="23"/>
    </row>
    <row r="46" spans="1:217">
      <c r="A46" s="29" t="s">
        <v>58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2">
        <v>0</v>
      </c>
      <c r="GC46" s="22">
        <v>0</v>
      </c>
      <c r="GD46" s="22">
        <v>0</v>
      </c>
      <c r="GE46" s="22">
        <v>0</v>
      </c>
      <c r="GF46" s="22">
        <v>0</v>
      </c>
      <c r="GG46" s="22">
        <v>0</v>
      </c>
      <c r="GH46" s="22">
        <v>0</v>
      </c>
      <c r="GI46" s="22">
        <v>0</v>
      </c>
      <c r="GJ46" s="22">
        <v>0</v>
      </c>
      <c r="GK46" s="22">
        <v>0</v>
      </c>
      <c r="GL46" s="23">
        <v>0</v>
      </c>
      <c r="GM46" s="23">
        <v>0</v>
      </c>
      <c r="GN46" s="23">
        <v>0</v>
      </c>
      <c r="GO46" s="23">
        <v>0</v>
      </c>
      <c r="GP46" s="23">
        <v>0</v>
      </c>
      <c r="GQ46" s="23">
        <v>0</v>
      </c>
      <c r="GR46" s="23">
        <v>0</v>
      </c>
      <c r="GS46" s="23">
        <v>0</v>
      </c>
      <c r="GT46" s="23">
        <v>0</v>
      </c>
      <c r="GU46" s="23">
        <v>0</v>
      </c>
      <c r="GV46" s="23">
        <v>0</v>
      </c>
      <c r="GW46" s="23">
        <v>0</v>
      </c>
      <c r="GX46" s="23">
        <v>0</v>
      </c>
      <c r="GY46" s="23">
        <v>0</v>
      </c>
      <c r="GZ46" s="23">
        <v>0</v>
      </c>
      <c r="HA46" s="23">
        <v>0</v>
      </c>
      <c r="HB46" s="23">
        <v>0</v>
      </c>
      <c r="HC46" s="23">
        <v>0</v>
      </c>
      <c r="HD46" s="23">
        <v>0</v>
      </c>
      <c r="HE46" s="23">
        <v>0</v>
      </c>
      <c r="HF46" s="23"/>
      <c r="HG46" s="23"/>
      <c r="HH46" s="23"/>
      <c r="HI46" s="23"/>
    </row>
    <row r="47" spans="1:217" s="43" customFormat="1">
      <c r="A47" s="44" t="s">
        <v>59</v>
      </c>
      <c r="B47" s="45">
        <v>0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0</v>
      </c>
      <c r="AR47" s="45">
        <v>0</v>
      </c>
      <c r="AS47" s="45">
        <v>0</v>
      </c>
      <c r="AT47" s="45">
        <v>0</v>
      </c>
      <c r="AU47" s="45">
        <v>0</v>
      </c>
      <c r="AV47" s="45">
        <v>0</v>
      </c>
      <c r="AW47" s="45">
        <v>0</v>
      </c>
      <c r="AX47" s="45">
        <v>0</v>
      </c>
      <c r="AY47" s="45">
        <v>0</v>
      </c>
      <c r="AZ47" s="45">
        <v>0</v>
      </c>
      <c r="BA47" s="45">
        <v>0</v>
      </c>
      <c r="BB47" s="45">
        <v>0</v>
      </c>
      <c r="BC47" s="45">
        <v>0</v>
      </c>
      <c r="BD47" s="45">
        <v>0</v>
      </c>
      <c r="BE47" s="45">
        <v>0</v>
      </c>
      <c r="BF47" s="45">
        <v>0</v>
      </c>
      <c r="BG47" s="45">
        <v>0</v>
      </c>
      <c r="BH47" s="45">
        <v>0</v>
      </c>
      <c r="BI47" s="45">
        <v>0</v>
      </c>
      <c r="BJ47" s="45">
        <v>0</v>
      </c>
      <c r="BK47" s="45">
        <v>0</v>
      </c>
      <c r="BL47" s="45">
        <v>0</v>
      </c>
      <c r="BM47" s="45">
        <v>0</v>
      </c>
      <c r="BN47" s="45">
        <v>0</v>
      </c>
      <c r="BO47" s="45">
        <v>0</v>
      </c>
      <c r="BP47" s="45">
        <v>0</v>
      </c>
      <c r="BQ47" s="45">
        <v>0</v>
      </c>
      <c r="BR47" s="45">
        <v>0</v>
      </c>
      <c r="BS47" s="45">
        <v>0</v>
      </c>
      <c r="BT47" s="45">
        <v>0</v>
      </c>
      <c r="BU47" s="45">
        <v>0</v>
      </c>
      <c r="BV47" s="45">
        <v>0</v>
      </c>
      <c r="BW47" s="45">
        <v>0</v>
      </c>
      <c r="BX47" s="45">
        <v>0</v>
      </c>
      <c r="BY47" s="45">
        <v>0</v>
      </c>
      <c r="BZ47" s="45">
        <v>0</v>
      </c>
      <c r="CA47" s="45">
        <v>0</v>
      </c>
      <c r="CB47" s="45">
        <v>0</v>
      </c>
      <c r="CC47" s="45">
        <v>0</v>
      </c>
      <c r="CD47" s="45">
        <v>0</v>
      </c>
      <c r="CE47" s="45">
        <v>0</v>
      </c>
      <c r="CF47" s="45">
        <v>0</v>
      </c>
      <c r="CG47" s="45">
        <v>0</v>
      </c>
      <c r="CH47" s="45">
        <v>0</v>
      </c>
      <c r="CI47" s="45">
        <v>0</v>
      </c>
      <c r="CJ47" s="45">
        <v>0</v>
      </c>
      <c r="CK47" s="45">
        <v>0</v>
      </c>
      <c r="CL47" s="45">
        <v>0</v>
      </c>
      <c r="CM47" s="45">
        <v>0</v>
      </c>
      <c r="CN47" s="45">
        <v>0</v>
      </c>
      <c r="CO47" s="45">
        <v>0</v>
      </c>
      <c r="CP47" s="45">
        <v>0</v>
      </c>
      <c r="CQ47" s="45">
        <v>0</v>
      </c>
      <c r="CR47" s="45">
        <v>0</v>
      </c>
      <c r="CS47" s="45">
        <v>0</v>
      </c>
      <c r="CT47" s="45">
        <v>0</v>
      </c>
      <c r="CU47" s="45">
        <v>0</v>
      </c>
      <c r="CV47" s="45">
        <v>0</v>
      </c>
      <c r="CW47" s="45">
        <v>0</v>
      </c>
      <c r="CX47" s="45">
        <v>0</v>
      </c>
      <c r="CY47" s="45">
        <v>0</v>
      </c>
      <c r="CZ47" s="45">
        <v>0</v>
      </c>
      <c r="DA47" s="45">
        <v>0</v>
      </c>
      <c r="DB47" s="45">
        <v>0</v>
      </c>
      <c r="DC47" s="45">
        <v>0</v>
      </c>
      <c r="DD47" s="45">
        <v>0</v>
      </c>
      <c r="DE47" s="45">
        <v>0</v>
      </c>
      <c r="DF47" s="45">
        <v>0</v>
      </c>
      <c r="DG47" s="45">
        <v>0</v>
      </c>
      <c r="DH47" s="45">
        <v>0</v>
      </c>
      <c r="DI47" s="45">
        <v>0</v>
      </c>
      <c r="DJ47" s="45">
        <v>0</v>
      </c>
      <c r="DK47" s="45">
        <v>0</v>
      </c>
      <c r="DL47" s="45">
        <v>0</v>
      </c>
      <c r="DM47" s="45">
        <v>0</v>
      </c>
      <c r="DN47" s="45">
        <v>0</v>
      </c>
      <c r="DO47" s="45">
        <v>0</v>
      </c>
      <c r="DP47" s="45">
        <v>0</v>
      </c>
      <c r="DQ47" s="45">
        <v>0</v>
      </c>
      <c r="DR47" s="45">
        <v>0</v>
      </c>
      <c r="DS47" s="45">
        <v>0</v>
      </c>
      <c r="DT47" s="45">
        <v>0</v>
      </c>
      <c r="DU47" s="45">
        <v>0</v>
      </c>
      <c r="DV47" s="45">
        <v>0</v>
      </c>
      <c r="DW47" s="45">
        <v>0</v>
      </c>
      <c r="DX47" s="45">
        <v>0</v>
      </c>
      <c r="DY47" s="45">
        <v>0</v>
      </c>
      <c r="DZ47" s="45">
        <v>0</v>
      </c>
      <c r="EA47" s="45">
        <v>0</v>
      </c>
      <c r="EB47" s="45">
        <v>0</v>
      </c>
      <c r="EC47" s="45">
        <v>0</v>
      </c>
      <c r="ED47" s="45">
        <v>0</v>
      </c>
      <c r="EE47" s="45">
        <v>0</v>
      </c>
      <c r="EF47" s="45">
        <v>0</v>
      </c>
      <c r="EG47" s="45">
        <v>0</v>
      </c>
      <c r="EH47" s="45">
        <v>0</v>
      </c>
      <c r="EI47" s="45">
        <v>0</v>
      </c>
      <c r="EJ47" s="45">
        <v>0</v>
      </c>
      <c r="EK47" s="45">
        <v>0</v>
      </c>
      <c r="EL47" s="45">
        <v>0</v>
      </c>
      <c r="EM47" s="45">
        <v>0</v>
      </c>
      <c r="EN47" s="45">
        <v>0</v>
      </c>
      <c r="EO47" s="45">
        <v>0</v>
      </c>
      <c r="EP47" s="45">
        <v>0</v>
      </c>
      <c r="EQ47" s="45">
        <v>0</v>
      </c>
      <c r="ER47" s="45">
        <v>0</v>
      </c>
      <c r="ES47" s="45">
        <v>0</v>
      </c>
      <c r="ET47" s="45">
        <v>0</v>
      </c>
      <c r="EU47" s="45">
        <v>0</v>
      </c>
      <c r="EV47" s="45">
        <v>0</v>
      </c>
      <c r="EW47" s="45">
        <v>0</v>
      </c>
      <c r="EX47" s="45">
        <v>0</v>
      </c>
      <c r="EY47" s="45">
        <v>0</v>
      </c>
      <c r="EZ47" s="45">
        <v>0</v>
      </c>
      <c r="FA47" s="45">
        <v>0</v>
      </c>
      <c r="FB47" s="45">
        <v>0</v>
      </c>
      <c r="FC47" s="45">
        <v>0</v>
      </c>
      <c r="FD47" s="45">
        <v>0</v>
      </c>
      <c r="FE47" s="45">
        <v>0</v>
      </c>
      <c r="FF47" s="45">
        <v>0</v>
      </c>
      <c r="FG47" s="45">
        <v>0</v>
      </c>
      <c r="FH47" s="45">
        <v>0</v>
      </c>
      <c r="FI47" s="45">
        <v>0</v>
      </c>
      <c r="FJ47" s="45">
        <v>0</v>
      </c>
      <c r="FK47" s="45">
        <v>0</v>
      </c>
      <c r="FL47" s="45">
        <v>0</v>
      </c>
      <c r="FM47" s="45">
        <v>0</v>
      </c>
      <c r="FN47" s="45">
        <v>0</v>
      </c>
      <c r="FO47" s="45">
        <v>0</v>
      </c>
      <c r="FP47" s="45">
        <v>0</v>
      </c>
      <c r="FQ47" s="45">
        <v>0</v>
      </c>
      <c r="FR47" s="45">
        <v>0</v>
      </c>
      <c r="FS47" s="45">
        <v>0</v>
      </c>
      <c r="FT47" s="45">
        <v>0</v>
      </c>
      <c r="FU47" s="45">
        <v>0</v>
      </c>
      <c r="FV47" s="45">
        <v>0</v>
      </c>
      <c r="FW47" s="45">
        <v>0</v>
      </c>
      <c r="FX47" s="45">
        <v>0</v>
      </c>
      <c r="FY47" s="45">
        <v>0</v>
      </c>
      <c r="FZ47" s="45">
        <v>0</v>
      </c>
      <c r="GA47" s="45">
        <v>0</v>
      </c>
      <c r="GB47" s="41">
        <v>0</v>
      </c>
      <c r="GC47" s="41">
        <v>0</v>
      </c>
      <c r="GD47" s="41">
        <v>0</v>
      </c>
      <c r="GE47" s="41">
        <v>0</v>
      </c>
      <c r="GF47" s="41">
        <v>0</v>
      </c>
      <c r="GG47" s="41">
        <v>0</v>
      </c>
      <c r="GH47" s="41">
        <v>0</v>
      </c>
      <c r="GI47" s="41">
        <v>0</v>
      </c>
      <c r="GJ47" s="41">
        <v>0</v>
      </c>
      <c r="GK47" s="41">
        <v>0</v>
      </c>
      <c r="GL47" s="42">
        <v>0</v>
      </c>
      <c r="GM47" s="42">
        <v>0</v>
      </c>
      <c r="GN47" s="42">
        <v>0</v>
      </c>
      <c r="GO47" s="42">
        <v>0</v>
      </c>
      <c r="GP47" s="42">
        <v>0</v>
      </c>
      <c r="GQ47" s="42">
        <v>0</v>
      </c>
      <c r="GR47" s="42">
        <v>0</v>
      </c>
      <c r="GS47" s="42">
        <v>0</v>
      </c>
      <c r="GT47" s="42">
        <v>0</v>
      </c>
      <c r="GU47" s="42">
        <v>0</v>
      </c>
      <c r="GV47" s="42">
        <v>0</v>
      </c>
      <c r="GW47" s="42">
        <v>0</v>
      </c>
      <c r="GX47" s="42">
        <v>0</v>
      </c>
      <c r="GY47" s="42">
        <v>0</v>
      </c>
      <c r="GZ47" s="42">
        <v>0</v>
      </c>
      <c r="HA47" s="42">
        <v>0</v>
      </c>
      <c r="HB47" s="42">
        <v>0</v>
      </c>
      <c r="HC47" s="42">
        <v>0</v>
      </c>
      <c r="HD47" s="42">
        <v>0</v>
      </c>
      <c r="HE47" s="42">
        <v>0</v>
      </c>
      <c r="HF47" s="42"/>
      <c r="HG47" s="42"/>
      <c r="HH47" s="42"/>
      <c r="HI47" s="42"/>
    </row>
    <row r="48" spans="1:217">
      <c r="A48" s="29" t="s">
        <v>60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2">
        <v>0</v>
      </c>
      <c r="GC48" s="22">
        <v>0</v>
      </c>
      <c r="GD48" s="22">
        <v>0</v>
      </c>
      <c r="GE48" s="22">
        <v>0</v>
      </c>
      <c r="GF48" s="22">
        <v>0</v>
      </c>
      <c r="GG48" s="22">
        <v>0</v>
      </c>
      <c r="GH48" s="22">
        <v>0</v>
      </c>
      <c r="GI48" s="22">
        <v>0</v>
      </c>
      <c r="GJ48" s="22">
        <v>0</v>
      </c>
      <c r="GK48" s="22">
        <v>0</v>
      </c>
      <c r="GL48" s="23">
        <v>0</v>
      </c>
      <c r="GM48" s="23">
        <v>0</v>
      </c>
      <c r="GN48" s="23">
        <v>0</v>
      </c>
      <c r="GO48" s="23">
        <v>0</v>
      </c>
      <c r="GP48" s="23">
        <v>0</v>
      </c>
      <c r="GQ48" s="23">
        <v>0</v>
      </c>
      <c r="GR48" s="23">
        <v>0</v>
      </c>
      <c r="GS48" s="23">
        <v>0</v>
      </c>
      <c r="GT48" s="23">
        <v>0</v>
      </c>
      <c r="GU48" s="23">
        <v>0</v>
      </c>
      <c r="GV48" s="23">
        <v>0</v>
      </c>
      <c r="GW48" s="23">
        <v>0</v>
      </c>
      <c r="GX48" s="23">
        <v>0</v>
      </c>
      <c r="GY48" s="23">
        <v>0</v>
      </c>
      <c r="GZ48" s="23">
        <v>0</v>
      </c>
      <c r="HA48" s="23">
        <v>0</v>
      </c>
      <c r="HB48" s="23">
        <v>0</v>
      </c>
      <c r="HC48" s="23">
        <v>0</v>
      </c>
      <c r="HD48" s="23">
        <v>0</v>
      </c>
      <c r="HE48" s="23">
        <v>0</v>
      </c>
      <c r="HF48" s="23"/>
      <c r="HG48" s="23"/>
      <c r="HH48" s="23"/>
      <c r="HI48" s="23"/>
    </row>
    <row r="49" spans="1:217">
      <c r="A49" s="29" t="s">
        <v>61</v>
      </c>
      <c r="B49" s="2">
        <v>0.14254977600000002</v>
      </c>
      <c r="C49" s="2">
        <v>9.9558661999999992E-2</v>
      </c>
      <c r="D49" s="2">
        <v>0.538740424</v>
      </c>
      <c r="E49" s="2">
        <v>0.20615666300000002</v>
      </c>
      <c r="F49" s="2">
        <v>0.34807220100000003</v>
      </c>
      <c r="G49" s="2">
        <v>2.6673222700000001</v>
      </c>
      <c r="H49" s="2">
        <v>0.417608331</v>
      </c>
      <c r="I49" s="2">
        <v>0.178990076</v>
      </c>
      <c r="J49" s="2">
        <v>1.462576275</v>
      </c>
      <c r="K49" s="2">
        <v>1.009511568</v>
      </c>
      <c r="L49" s="2">
        <v>2.1421316090000002</v>
      </c>
      <c r="M49" s="2">
        <v>-0.19851323100000001</v>
      </c>
      <c r="N49" s="2">
        <v>0.08</v>
      </c>
      <c r="O49" s="2">
        <v>0.17864476999999998</v>
      </c>
      <c r="P49" s="2">
        <v>0.39358166</v>
      </c>
      <c r="Q49" s="2">
        <v>0.96560017000000009</v>
      </c>
      <c r="R49" s="2">
        <v>2.148352021</v>
      </c>
      <c r="S49" s="2">
        <v>0.55042204000000006</v>
      </c>
      <c r="T49" s="2">
        <v>0.44536150400000002</v>
      </c>
      <c r="U49" s="2">
        <v>1.288984224</v>
      </c>
      <c r="V49" s="2">
        <v>0.71607760300000001</v>
      </c>
      <c r="W49" s="2">
        <v>0.93919160999999995</v>
      </c>
      <c r="X49" s="2">
        <v>0.67109529999999995</v>
      </c>
      <c r="Y49" s="2">
        <v>1.1268428189999999</v>
      </c>
      <c r="Z49" s="2">
        <v>0.89996739999999997</v>
      </c>
      <c r="AA49" s="2">
        <v>2.0843252510000001</v>
      </c>
      <c r="AB49" s="2">
        <v>1.4384895489999998</v>
      </c>
      <c r="AC49" s="2">
        <v>0.56146397400000003</v>
      </c>
      <c r="AD49" s="2">
        <v>2.0935975790000003</v>
      </c>
      <c r="AE49" s="2">
        <v>1.3348247940000002</v>
      </c>
      <c r="AF49" s="2">
        <v>1.6299924219999999</v>
      </c>
      <c r="AG49" s="2">
        <v>2.7456999510000002</v>
      </c>
      <c r="AH49" s="2">
        <v>1.090558092</v>
      </c>
      <c r="AI49" s="2">
        <v>1.2132751000000002</v>
      </c>
      <c r="AJ49" s="2">
        <v>2.487410428</v>
      </c>
      <c r="AK49" s="2">
        <v>3.642668687</v>
      </c>
      <c r="AL49" s="2">
        <v>0.08</v>
      </c>
      <c r="AM49" s="2">
        <v>1.2</v>
      </c>
      <c r="AN49" s="2">
        <v>3.4506991600000001</v>
      </c>
      <c r="AO49" s="2">
        <v>0.51179365300000002</v>
      </c>
      <c r="AP49" s="2">
        <v>1.2228079250000001</v>
      </c>
      <c r="AQ49" s="2">
        <v>1.2716E-2</v>
      </c>
      <c r="AR49" s="2">
        <v>0.745</v>
      </c>
      <c r="AS49" s="2">
        <v>2.6517508189999996</v>
      </c>
      <c r="AT49" s="2">
        <v>2.3479106330000001</v>
      </c>
      <c r="AU49" s="2">
        <v>0.34912400999999998</v>
      </c>
      <c r="AV49" s="2">
        <v>1.0501358999999999</v>
      </c>
      <c r="AW49" s="2">
        <v>2.9838955999999999</v>
      </c>
      <c r="AX49" s="2">
        <v>1.0799912</v>
      </c>
      <c r="AY49" s="2">
        <v>1.0732148189999999</v>
      </c>
      <c r="AZ49" s="2">
        <v>2.3046411529999999</v>
      </c>
      <c r="BA49" s="2">
        <v>1.1329185480000001</v>
      </c>
      <c r="BB49" s="2">
        <v>3.0326344000000001</v>
      </c>
      <c r="BC49" s="2">
        <v>0.72020000000000006</v>
      </c>
      <c r="BD49" s="2">
        <v>0.74476043300000005</v>
      </c>
      <c r="BE49" s="2">
        <v>2.9906585199999998</v>
      </c>
      <c r="BF49" s="2">
        <v>3.579208451</v>
      </c>
      <c r="BG49" s="2">
        <v>1.2005763999999999</v>
      </c>
      <c r="BH49" s="2">
        <v>1.004977241</v>
      </c>
      <c r="BI49" s="2">
        <v>0.15997549699999999</v>
      </c>
      <c r="BJ49" s="2">
        <v>0.08</v>
      </c>
      <c r="BK49" s="2">
        <v>2.8312396950000003</v>
      </c>
      <c r="BL49" s="2">
        <v>2.6915154029999999</v>
      </c>
      <c r="BM49" s="2">
        <v>4.2114659730000001</v>
      </c>
      <c r="BN49" s="2">
        <v>4.1456460220000002</v>
      </c>
      <c r="BO49" s="2">
        <v>1.5227480200000001</v>
      </c>
      <c r="BP49" s="2">
        <v>4.1054254209999996</v>
      </c>
      <c r="BQ49" s="2">
        <v>0.467415101</v>
      </c>
      <c r="BR49" s="2">
        <v>2.4446208440000001</v>
      </c>
      <c r="BS49" s="2">
        <v>4.081666309</v>
      </c>
      <c r="BT49" s="2">
        <v>3.9368749599999999</v>
      </c>
      <c r="BU49" s="2">
        <v>1.9873717999999998</v>
      </c>
      <c r="BV49" s="2">
        <v>0.08</v>
      </c>
      <c r="BW49" s="2">
        <v>2.47655</v>
      </c>
      <c r="BX49" s="2">
        <v>5.3233436330000004</v>
      </c>
      <c r="BY49" s="2">
        <v>5.0678468599999995</v>
      </c>
      <c r="BZ49" s="2">
        <v>1.371913073</v>
      </c>
      <c r="CA49" s="2">
        <v>3.0430433149999998</v>
      </c>
      <c r="CB49" s="2">
        <v>2.1089284130000001</v>
      </c>
      <c r="CC49" s="2">
        <v>4.3959342999999995</v>
      </c>
      <c r="CD49" s="2">
        <v>2.2783215599999997</v>
      </c>
      <c r="CE49" s="2">
        <v>0.89397110299999993</v>
      </c>
      <c r="CF49" s="2">
        <v>2.2429749999999999</v>
      </c>
      <c r="CG49" s="2">
        <v>5.8789025000000006</v>
      </c>
      <c r="CH49" s="2">
        <v>1.9607284999999999</v>
      </c>
      <c r="CI49" s="2">
        <v>1.220415</v>
      </c>
      <c r="CJ49" s="2">
        <v>4.0165978999999998</v>
      </c>
      <c r="CK49" s="2">
        <v>4.8068267029999996</v>
      </c>
      <c r="CL49" s="2">
        <v>2.2215826889999999</v>
      </c>
      <c r="CM49" s="2">
        <v>5.1762970500000005</v>
      </c>
      <c r="CN49" s="2">
        <v>1.49895</v>
      </c>
      <c r="CO49" s="2">
        <v>2.4350852270000001</v>
      </c>
      <c r="CP49" s="2">
        <v>4.1069430579999997</v>
      </c>
      <c r="CQ49" s="2">
        <v>1.742161292</v>
      </c>
      <c r="CR49" s="2">
        <v>2.0562081229999998</v>
      </c>
      <c r="CS49" s="2">
        <v>13.359705889999999</v>
      </c>
      <c r="CT49" s="2">
        <v>4.1952944879999992</v>
      </c>
      <c r="CU49" s="2">
        <v>3.3359600999999999</v>
      </c>
      <c r="CV49" s="2">
        <v>4.5229914900000008</v>
      </c>
      <c r="CW49" s="2">
        <v>3.2065120839999999</v>
      </c>
      <c r="CX49" s="2">
        <v>8.7200120389999984</v>
      </c>
      <c r="CY49" s="2">
        <v>3.2797185660000001</v>
      </c>
      <c r="CZ49" s="2">
        <v>2.3968468650000001</v>
      </c>
      <c r="DA49" s="2">
        <v>116.340816754</v>
      </c>
      <c r="DB49" s="2">
        <v>1.642500544</v>
      </c>
      <c r="DC49" s="2">
        <v>3.6337429980000002</v>
      </c>
      <c r="DD49" s="2">
        <v>3.0370875829999999</v>
      </c>
      <c r="DE49" s="2">
        <v>170.96662412599997</v>
      </c>
      <c r="DF49" s="2">
        <v>3.4995514459999999</v>
      </c>
      <c r="DG49" s="2">
        <v>1.8150715479999999</v>
      </c>
      <c r="DH49" s="2">
        <v>3.0628342670000004</v>
      </c>
      <c r="DI49" s="2">
        <v>4.2522403539999996</v>
      </c>
      <c r="DJ49" s="2">
        <v>5.4186613180000007</v>
      </c>
      <c r="DK49" s="2">
        <v>2.9870356170000001</v>
      </c>
      <c r="DL49" s="2">
        <v>2.8780635370000001</v>
      </c>
      <c r="DM49" s="2">
        <v>1.759987864</v>
      </c>
      <c r="DN49" s="2">
        <v>1.6301524090000001</v>
      </c>
      <c r="DO49" s="2">
        <v>3.6898858639999998</v>
      </c>
      <c r="DP49" s="2">
        <v>3.6227641279999996</v>
      </c>
      <c r="DQ49" s="2">
        <v>0.30493010199999998</v>
      </c>
      <c r="DR49" s="2">
        <v>3.510339788</v>
      </c>
      <c r="DS49" s="2">
        <v>2.472026015</v>
      </c>
      <c r="DT49" s="2">
        <v>2.4247784550000002</v>
      </c>
      <c r="DU49" s="2">
        <v>3.7222571210000002</v>
      </c>
      <c r="DV49" s="2">
        <v>6.6485400739999996</v>
      </c>
      <c r="DW49" s="2">
        <v>1.6286720499999998</v>
      </c>
      <c r="DX49" s="2">
        <v>2.0202317880000003</v>
      </c>
      <c r="DY49" s="2">
        <v>0.33426703400000002</v>
      </c>
      <c r="DZ49" s="2">
        <v>2.0936258140000001</v>
      </c>
      <c r="EA49" s="2">
        <v>2.0409028610000002</v>
      </c>
      <c r="EB49" s="2">
        <v>2.7962374920000004</v>
      </c>
      <c r="EC49" s="2">
        <v>6.8527564089999995</v>
      </c>
      <c r="ED49" s="2">
        <v>0.74000636899999994</v>
      </c>
      <c r="EE49" s="2">
        <v>0.40492307599999999</v>
      </c>
      <c r="EF49" s="2">
        <v>5.9819200970000006</v>
      </c>
      <c r="EG49" s="2">
        <v>6.0613597440000007</v>
      </c>
      <c r="EH49" s="2">
        <v>8.7390588310000012</v>
      </c>
      <c r="EI49" s="2">
        <v>2.976159488</v>
      </c>
      <c r="EJ49" s="2">
        <v>1.0940455330000001</v>
      </c>
      <c r="EK49" s="2">
        <v>1.3669824819999998</v>
      </c>
      <c r="EL49" s="2">
        <v>1.0865030760000001</v>
      </c>
      <c r="EM49" s="2">
        <v>4.1019156349999992</v>
      </c>
      <c r="EN49" s="2">
        <v>11.555677006</v>
      </c>
      <c r="EO49" s="2">
        <v>17.762377631</v>
      </c>
      <c r="EP49" s="2">
        <v>0.31492307599999997</v>
      </c>
      <c r="EQ49" s="2">
        <v>3.8231644379999996</v>
      </c>
      <c r="ER49" s="2">
        <v>5.2269314339999999</v>
      </c>
      <c r="ES49" s="2">
        <v>3.5690797490000001</v>
      </c>
      <c r="ET49" s="2">
        <v>8.825054862</v>
      </c>
      <c r="EU49" s="2">
        <v>5.2013979040000002</v>
      </c>
      <c r="EV49" s="2">
        <v>4.6544771629999993</v>
      </c>
      <c r="EW49" s="2">
        <v>9.5797450709999996</v>
      </c>
      <c r="EX49" s="2">
        <v>0.58179147600000003</v>
      </c>
      <c r="EY49" s="2">
        <v>1.942788256</v>
      </c>
      <c r="EZ49" s="2">
        <v>5.7902946790000005</v>
      </c>
      <c r="FA49" s="2">
        <v>2.9024300199999997</v>
      </c>
      <c r="FB49" s="48">
        <v>0.31492307599999997</v>
      </c>
      <c r="FC49" s="48">
        <v>2.5420863250000001</v>
      </c>
      <c r="FD49" s="48">
        <v>8.700502178999999</v>
      </c>
      <c r="FE49" s="48">
        <v>2.3112646269999999</v>
      </c>
      <c r="FF49" s="48">
        <v>4.2040028000000005</v>
      </c>
      <c r="FG49" s="48">
        <v>3.1249387039999998</v>
      </c>
      <c r="FH49" s="48">
        <v>13.181740731000001</v>
      </c>
      <c r="FI49" s="48">
        <v>3.448747413</v>
      </c>
      <c r="FJ49" s="48">
        <v>4.6051638119999998</v>
      </c>
      <c r="FK49" s="48">
        <v>4.4874980080000002</v>
      </c>
      <c r="FL49" s="48">
        <v>8.9300243310000003</v>
      </c>
      <c r="FM49" s="48">
        <v>13.439675697999997</v>
      </c>
      <c r="FN49" s="48">
        <v>0.97502896500000003</v>
      </c>
      <c r="FO49" s="48">
        <v>9.7398393530000007</v>
      </c>
      <c r="FP49" s="48">
        <v>3.8532470960000005</v>
      </c>
      <c r="FQ49" s="48">
        <v>3.8601062190000013</v>
      </c>
      <c r="FR49" s="48">
        <v>7.1786306169999996</v>
      </c>
      <c r="FS49" s="48">
        <v>3.6342167250000004</v>
      </c>
      <c r="FT49" s="48">
        <v>6.7366477589999993</v>
      </c>
      <c r="FU49" s="48">
        <v>13.223090964000001</v>
      </c>
      <c r="FV49" s="48">
        <v>4.8992874109999995</v>
      </c>
      <c r="FW49" s="48">
        <v>3.8279998079999999</v>
      </c>
      <c r="FX49" s="48">
        <v>5.8622258770000002</v>
      </c>
      <c r="FY49" s="48">
        <v>8.4923756590000004</v>
      </c>
      <c r="FZ49" s="48">
        <v>1.0228630759999999</v>
      </c>
      <c r="GA49" s="48">
        <v>5.6858554809999999</v>
      </c>
      <c r="GB49" s="22">
        <v>4.9991581319999998</v>
      </c>
      <c r="GC49" s="22">
        <v>8.3486432879999999</v>
      </c>
      <c r="GD49" s="22">
        <v>9.6427556289999998</v>
      </c>
      <c r="GE49" s="22">
        <v>3.5724250980000001</v>
      </c>
      <c r="GF49" s="22">
        <v>6.875222557999999</v>
      </c>
      <c r="GG49" s="22">
        <v>2.79565047</v>
      </c>
      <c r="GH49" s="22">
        <v>3.8697209610000001</v>
      </c>
      <c r="GI49" s="22">
        <v>0.32150858800000004</v>
      </c>
      <c r="GJ49" s="22">
        <v>4.9762602999999999</v>
      </c>
      <c r="GK49" s="22">
        <v>7.1980149769999997</v>
      </c>
      <c r="GL49" s="23">
        <v>0.71964217599999991</v>
      </c>
      <c r="GM49" s="23">
        <v>3.6075959699999998</v>
      </c>
      <c r="GN49" s="23">
        <v>4.1974730900000008</v>
      </c>
      <c r="GO49" s="23">
        <v>4.4466795700000006</v>
      </c>
      <c r="GP49" s="23">
        <v>8.8126162229999991</v>
      </c>
      <c r="GQ49" s="23">
        <v>3.6571363369999998</v>
      </c>
      <c r="GR49" s="23">
        <v>9.3574932050000008</v>
      </c>
      <c r="GS49" s="23">
        <v>3.0670370450000002</v>
      </c>
      <c r="GT49" s="23">
        <v>5.1329201730000005</v>
      </c>
      <c r="GU49" s="23">
        <v>4.4950336960000001</v>
      </c>
      <c r="GV49" s="23">
        <v>4.090813775</v>
      </c>
      <c r="GW49" s="23">
        <v>8.1272863910000002</v>
      </c>
      <c r="GX49" s="23">
        <v>1.5043003619999999</v>
      </c>
      <c r="GY49" s="23">
        <v>1.9451833569999999</v>
      </c>
      <c r="GZ49" s="23">
        <v>2.506279556</v>
      </c>
      <c r="HA49" s="23">
        <v>1.178971794</v>
      </c>
      <c r="HB49" s="23">
        <v>1.490869019</v>
      </c>
      <c r="HC49" s="23">
        <v>5.068332088</v>
      </c>
      <c r="HD49" s="23">
        <v>1.7820659189999999</v>
      </c>
      <c r="HE49" s="23">
        <v>4.5479717270000002</v>
      </c>
      <c r="HF49" s="23"/>
      <c r="HG49" s="23"/>
      <c r="HH49" s="23"/>
      <c r="HI49" s="23"/>
    </row>
    <row r="50" spans="1:217" s="43" customFormat="1">
      <c r="A50" s="44" t="s">
        <v>59</v>
      </c>
      <c r="B50" s="45">
        <v>0.14254977600000002</v>
      </c>
      <c r="C50" s="45">
        <v>9.9558661999999992E-2</v>
      </c>
      <c r="D50" s="45">
        <v>0.538740424</v>
      </c>
      <c r="E50" s="45">
        <v>0.20615666300000002</v>
      </c>
      <c r="F50" s="45">
        <v>0.34807220100000003</v>
      </c>
      <c r="G50" s="45">
        <v>2.6673222700000001</v>
      </c>
      <c r="H50" s="45">
        <v>0.417608331</v>
      </c>
      <c r="I50" s="45">
        <v>0.178990076</v>
      </c>
      <c r="J50" s="45">
        <v>1.462576275</v>
      </c>
      <c r="K50" s="45">
        <v>1.009511568</v>
      </c>
      <c r="L50" s="45">
        <v>2.1421316090000002</v>
      </c>
      <c r="M50" s="45">
        <v>-0.23865486000000002</v>
      </c>
      <c r="N50" s="45">
        <v>0.08</v>
      </c>
      <c r="O50" s="45">
        <v>0.17864476999999998</v>
      </c>
      <c r="P50" s="45">
        <v>0.39358166</v>
      </c>
      <c r="Q50" s="45">
        <v>0.96560017000000009</v>
      </c>
      <c r="R50" s="45">
        <v>2.148352021</v>
      </c>
      <c r="S50" s="45">
        <v>0.55042204000000006</v>
      </c>
      <c r="T50" s="45">
        <v>0.44536150400000002</v>
      </c>
      <c r="U50" s="45">
        <v>1.288984224</v>
      </c>
      <c r="V50" s="45">
        <v>0.71607760300000001</v>
      </c>
      <c r="W50" s="45">
        <v>0.93919160999999995</v>
      </c>
      <c r="X50" s="45">
        <v>0.67109529999999995</v>
      </c>
      <c r="Y50" s="45">
        <v>1.1268428189999999</v>
      </c>
      <c r="Z50" s="45">
        <v>0.89996739999999997</v>
      </c>
      <c r="AA50" s="45">
        <v>2.0843252510000001</v>
      </c>
      <c r="AB50" s="45">
        <v>1.4384895489999998</v>
      </c>
      <c r="AC50" s="45">
        <v>0.56146397400000003</v>
      </c>
      <c r="AD50" s="45">
        <v>2.0935975790000003</v>
      </c>
      <c r="AE50" s="45">
        <v>1.3348247940000002</v>
      </c>
      <c r="AF50" s="45">
        <v>1.6299924219999999</v>
      </c>
      <c r="AG50" s="45">
        <v>2.7456999510000002</v>
      </c>
      <c r="AH50" s="45">
        <v>1.090558092</v>
      </c>
      <c r="AI50" s="45">
        <v>1.2132751000000002</v>
      </c>
      <c r="AJ50" s="45">
        <v>2.487410428</v>
      </c>
      <c r="AK50" s="45">
        <v>3.642668687</v>
      </c>
      <c r="AL50" s="45">
        <v>0.08</v>
      </c>
      <c r="AM50" s="45">
        <v>1.2</v>
      </c>
      <c r="AN50" s="45">
        <v>3.4506991600000001</v>
      </c>
      <c r="AO50" s="45">
        <v>0.51179365300000002</v>
      </c>
      <c r="AP50" s="45">
        <v>1.2228079250000001</v>
      </c>
      <c r="AQ50" s="45">
        <v>1.2716E-2</v>
      </c>
      <c r="AR50" s="45">
        <v>0.745</v>
      </c>
      <c r="AS50" s="45">
        <v>2.6517508189999996</v>
      </c>
      <c r="AT50" s="45">
        <v>2.3479106330000001</v>
      </c>
      <c r="AU50" s="45">
        <v>0.34912400999999998</v>
      </c>
      <c r="AV50" s="45">
        <v>1.0501358999999999</v>
      </c>
      <c r="AW50" s="45">
        <v>0.29389559999999998</v>
      </c>
      <c r="AX50" s="45">
        <v>1.0799912</v>
      </c>
      <c r="AY50" s="45">
        <v>1.0732148189999999</v>
      </c>
      <c r="AZ50" s="45">
        <v>2.3046411529999999</v>
      </c>
      <c r="BA50" s="45">
        <v>1.1329185480000001</v>
      </c>
      <c r="BB50" s="45">
        <v>1.1388844</v>
      </c>
      <c r="BC50" s="45">
        <v>0.72020000000000006</v>
      </c>
      <c r="BD50" s="45">
        <v>0.74476043300000005</v>
      </c>
      <c r="BE50" s="45">
        <v>2.9906585199999998</v>
      </c>
      <c r="BF50" s="45">
        <v>1.5995084509999999</v>
      </c>
      <c r="BG50" s="45">
        <v>1.2896884</v>
      </c>
      <c r="BH50" s="45">
        <v>1.004977241</v>
      </c>
      <c r="BI50" s="45">
        <v>0.15997549699999999</v>
      </c>
      <c r="BJ50" s="45">
        <v>0.08</v>
      </c>
      <c r="BK50" s="45">
        <v>2.8312396950000003</v>
      </c>
      <c r="BL50" s="45">
        <v>2.6915154029999999</v>
      </c>
      <c r="BM50" s="45">
        <v>2.0414659730000002</v>
      </c>
      <c r="BN50" s="45">
        <v>4.1456460220000002</v>
      </c>
      <c r="BO50" s="45">
        <v>1.5227480200000001</v>
      </c>
      <c r="BP50" s="45">
        <v>4.1054254209999996</v>
      </c>
      <c r="BQ50" s="45">
        <v>0.467415101</v>
      </c>
      <c r="BR50" s="45">
        <v>2.5496208440000001</v>
      </c>
      <c r="BS50" s="45">
        <v>1.866666309</v>
      </c>
      <c r="BT50" s="45">
        <v>3.9368749599999999</v>
      </c>
      <c r="BU50" s="45">
        <v>1.9873717999999998</v>
      </c>
      <c r="BV50" s="45">
        <v>0.08</v>
      </c>
      <c r="BW50" s="45">
        <v>2.47655</v>
      </c>
      <c r="BX50" s="45">
        <v>5.3233436330000004</v>
      </c>
      <c r="BY50" s="45">
        <v>5.0678468599999995</v>
      </c>
      <c r="BZ50" s="45">
        <v>1.371913073</v>
      </c>
      <c r="CA50" s="45">
        <v>3.0430433149999998</v>
      </c>
      <c r="CB50" s="45">
        <v>2.1089284130000001</v>
      </c>
      <c r="CC50" s="45">
        <v>4.3959342999999995</v>
      </c>
      <c r="CD50" s="45">
        <v>2.2783215599999997</v>
      </c>
      <c r="CE50" s="45">
        <v>0.89397110299999993</v>
      </c>
      <c r="CF50" s="45">
        <v>2.2429749999999999</v>
      </c>
      <c r="CG50" s="45">
        <v>5.8789025000000006</v>
      </c>
      <c r="CH50" s="45">
        <v>1.9607284999999999</v>
      </c>
      <c r="CI50" s="45">
        <v>1.220415</v>
      </c>
      <c r="CJ50" s="45">
        <v>4.0165978999999998</v>
      </c>
      <c r="CK50" s="45">
        <v>4.8068267029999996</v>
      </c>
      <c r="CL50" s="45">
        <v>2.2215826889999999</v>
      </c>
      <c r="CM50" s="45">
        <v>5.1762970500000005</v>
      </c>
      <c r="CN50" s="45">
        <v>1.49895</v>
      </c>
      <c r="CO50" s="45">
        <v>2.4350852270000001</v>
      </c>
      <c r="CP50" s="45">
        <v>4.1069430579999997</v>
      </c>
      <c r="CQ50" s="45">
        <v>1.742161292</v>
      </c>
      <c r="CR50" s="45">
        <v>2.0562081229999998</v>
      </c>
      <c r="CS50" s="45">
        <v>13.359705889999999</v>
      </c>
      <c r="CT50" s="45">
        <v>4.1952944879999992</v>
      </c>
      <c r="CU50" s="45">
        <v>3.3359600999999999</v>
      </c>
      <c r="CV50" s="45">
        <v>4.5229914900000008</v>
      </c>
      <c r="CW50" s="45">
        <v>3.2065120839999999</v>
      </c>
      <c r="CX50" s="45">
        <v>8.7200120389999984</v>
      </c>
      <c r="CY50" s="45">
        <v>3.2797185660000001</v>
      </c>
      <c r="CZ50" s="45">
        <v>2.3968468650000001</v>
      </c>
      <c r="DA50" s="45">
        <v>1.7108167539999999</v>
      </c>
      <c r="DB50" s="45">
        <v>1.642500544</v>
      </c>
      <c r="DC50" s="45">
        <v>3.6337429980000002</v>
      </c>
      <c r="DD50" s="45">
        <v>3.0370875829999999</v>
      </c>
      <c r="DE50" s="45">
        <v>7.7702241260000005</v>
      </c>
      <c r="DF50" s="45">
        <v>3.4995514459999999</v>
      </c>
      <c r="DG50" s="45">
        <v>1.8150715479999999</v>
      </c>
      <c r="DH50" s="45">
        <v>3.0628342670000004</v>
      </c>
      <c r="DI50" s="45">
        <v>4.2522403539999996</v>
      </c>
      <c r="DJ50" s="45">
        <v>5.4186613180000007</v>
      </c>
      <c r="DK50" s="45">
        <v>2.9870356170000001</v>
      </c>
      <c r="DL50" s="45">
        <v>2.8780635370000001</v>
      </c>
      <c r="DM50" s="45">
        <v>1.759987864</v>
      </c>
      <c r="DN50" s="45">
        <v>1.6301524090000001</v>
      </c>
      <c r="DO50" s="45">
        <v>3.6898858639999998</v>
      </c>
      <c r="DP50" s="45">
        <v>3.6227641279999996</v>
      </c>
      <c r="DQ50" s="45">
        <v>0.30493010199999998</v>
      </c>
      <c r="DR50" s="45">
        <v>3.510339788</v>
      </c>
      <c r="DS50" s="45">
        <v>2.472026015</v>
      </c>
      <c r="DT50" s="45">
        <v>2.4247784550000002</v>
      </c>
      <c r="DU50" s="45">
        <v>3.7222571210000002</v>
      </c>
      <c r="DV50" s="45">
        <v>6.6485400739999996</v>
      </c>
      <c r="DW50" s="45">
        <v>1.6286720499999998</v>
      </c>
      <c r="DX50" s="45">
        <v>2.0202317880000003</v>
      </c>
      <c r="DY50" s="45">
        <v>0.33426703400000002</v>
      </c>
      <c r="DZ50" s="45">
        <v>2.0936258140000001</v>
      </c>
      <c r="EA50" s="45">
        <v>2.0409028610000002</v>
      </c>
      <c r="EB50" s="45">
        <v>2.7962374920000004</v>
      </c>
      <c r="EC50" s="45">
        <v>0.85275640899999994</v>
      </c>
      <c r="ED50" s="45">
        <v>0.74000636899999994</v>
      </c>
      <c r="EE50" s="45">
        <v>0.40492307599999999</v>
      </c>
      <c r="EF50" s="45">
        <v>5.9819200970000006</v>
      </c>
      <c r="EG50" s="45">
        <v>6.0613597440000007</v>
      </c>
      <c r="EH50" s="45">
        <v>8.1143924590000012</v>
      </c>
      <c r="EI50" s="45">
        <v>2.976159488</v>
      </c>
      <c r="EJ50" s="45">
        <v>1.0940455330000001</v>
      </c>
      <c r="EK50" s="45">
        <v>1.3669824819999998</v>
      </c>
      <c r="EL50" s="45">
        <v>1.0865030760000001</v>
      </c>
      <c r="EM50" s="45">
        <v>4.1019156349999992</v>
      </c>
      <c r="EN50" s="45">
        <v>11.555677006</v>
      </c>
      <c r="EO50" s="45">
        <v>4.042630076</v>
      </c>
      <c r="EP50" s="45">
        <v>0.31492307599999997</v>
      </c>
      <c r="EQ50" s="45">
        <v>3.8231644379999996</v>
      </c>
      <c r="ER50" s="45">
        <v>5.2269314339999999</v>
      </c>
      <c r="ES50" s="45">
        <v>2.8965154760000003</v>
      </c>
      <c r="ET50" s="45">
        <v>8.825054862</v>
      </c>
      <c r="EU50" s="45">
        <v>3.8639725440000001</v>
      </c>
      <c r="EV50" s="45">
        <v>4.6544771629999993</v>
      </c>
      <c r="EW50" s="45">
        <v>5.3193143149999997</v>
      </c>
      <c r="EX50" s="45">
        <v>0.58179147600000003</v>
      </c>
      <c r="EY50" s="45">
        <v>1.456324416</v>
      </c>
      <c r="EZ50" s="45">
        <v>5.2985829310000003</v>
      </c>
      <c r="FA50" s="45">
        <v>1.3835197270000001</v>
      </c>
      <c r="FB50" s="45">
        <v>0.31492307599999997</v>
      </c>
      <c r="FC50" s="45">
        <v>2.5420863250000001</v>
      </c>
      <c r="FD50" s="45">
        <v>8.700502178999999</v>
      </c>
      <c r="FE50" s="45">
        <v>2.3112646269999999</v>
      </c>
      <c r="FF50" s="45">
        <v>4.2040028000000005</v>
      </c>
      <c r="FG50" s="45">
        <v>1.9889387039999999</v>
      </c>
      <c r="FH50" s="45">
        <v>11.289087810000002</v>
      </c>
      <c r="FI50" s="45">
        <v>1.538664163</v>
      </c>
      <c r="FJ50" s="45">
        <v>3.482163812</v>
      </c>
      <c r="FK50" s="45">
        <v>3.2162871979999998</v>
      </c>
      <c r="FL50" s="45">
        <v>5.940024331</v>
      </c>
      <c r="FM50" s="45">
        <v>12.873100698</v>
      </c>
      <c r="FN50" s="45">
        <v>0.97502896500000003</v>
      </c>
      <c r="FO50" s="45">
        <v>2.8398393529999999</v>
      </c>
      <c r="FP50" s="45">
        <v>4.4032470960000003</v>
      </c>
      <c r="FQ50" s="45">
        <v>2.3200500759999998</v>
      </c>
      <c r="FR50" s="45">
        <v>6.3511405999999999</v>
      </c>
      <c r="FS50" s="45">
        <v>3.1342167250000004</v>
      </c>
      <c r="FT50" s="45">
        <v>4.1107304299999994</v>
      </c>
      <c r="FU50" s="45">
        <v>9.2900735640000001</v>
      </c>
      <c r="FV50" s="45">
        <v>2.649287411</v>
      </c>
      <c r="FW50" s="45">
        <v>3.8279998079999999</v>
      </c>
      <c r="FX50" s="45">
        <v>0.88212000499999998</v>
      </c>
      <c r="FY50" s="45">
        <v>1.909500263</v>
      </c>
      <c r="FZ50" s="45">
        <v>1.0228630759999999</v>
      </c>
      <c r="GA50" s="45">
        <v>4.6858554809999999</v>
      </c>
      <c r="GB50" s="41">
        <v>4.9647493369999998</v>
      </c>
      <c r="GC50" s="41">
        <v>3.2256617349999996</v>
      </c>
      <c r="GD50" s="41">
        <v>4.8517542380000007</v>
      </c>
      <c r="GE50" s="41">
        <v>1.5724250979999999</v>
      </c>
      <c r="GF50" s="41">
        <v>4.5108427709999992</v>
      </c>
      <c r="GG50" s="41">
        <v>2.0900528739999999</v>
      </c>
      <c r="GH50" s="41">
        <v>3.8640064729999999</v>
      </c>
      <c r="GI50" s="41">
        <v>0.327223076</v>
      </c>
      <c r="GJ50" s="41">
        <v>2.4673796400000003</v>
      </c>
      <c r="GK50" s="41">
        <v>5.9980149769999995</v>
      </c>
      <c r="GL50" s="42">
        <v>0.71964217599999991</v>
      </c>
      <c r="GM50" s="42">
        <v>3.6075959699999998</v>
      </c>
      <c r="GN50" s="42">
        <v>4.1974730900000008</v>
      </c>
      <c r="GO50" s="42">
        <v>4.4466795700000006</v>
      </c>
      <c r="GP50" s="42">
        <v>8.8126162229999991</v>
      </c>
      <c r="GQ50" s="42">
        <v>3.6571363369999998</v>
      </c>
      <c r="GR50" s="42">
        <v>5.0324932050000006</v>
      </c>
      <c r="GS50" s="42">
        <v>3.0670370450000002</v>
      </c>
      <c r="GT50" s="42">
        <v>5.1329201730000005</v>
      </c>
      <c r="GU50" s="42">
        <v>3.4150336960000001</v>
      </c>
      <c r="GV50" s="42">
        <v>4.090813775</v>
      </c>
      <c r="GW50" s="42">
        <v>3.463286391</v>
      </c>
      <c r="GX50" s="42">
        <v>1.5043003619999999</v>
      </c>
      <c r="GY50" s="42">
        <v>1.9451833569999999</v>
      </c>
      <c r="GZ50" s="42">
        <v>2.506279556</v>
      </c>
      <c r="HA50" s="42">
        <v>1.178971794</v>
      </c>
      <c r="HB50" s="42">
        <v>1.490869019</v>
      </c>
      <c r="HC50" s="42">
        <v>5.068332088</v>
      </c>
      <c r="HD50" s="42">
        <v>1.7820659189999999</v>
      </c>
      <c r="HE50" s="42">
        <v>4.5479717270000002</v>
      </c>
      <c r="HF50" s="42"/>
      <c r="HG50" s="42"/>
      <c r="HH50" s="42"/>
      <c r="HI50" s="42"/>
    </row>
    <row r="51" spans="1:217">
      <c r="A51" s="29" t="s">
        <v>60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4.0141629000000005E-2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2.69</v>
      </c>
      <c r="AX51" s="2">
        <v>0</v>
      </c>
      <c r="AY51" s="2">
        <v>0</v>
      </c>
      <c r="AZ51" s="2">
        <v>0</v>
      </c>
      <c r="BA51" s="2">
        <v>0</v>
      </c>
      <c r="BB51" s="2">
        <v>1.89375</v>
      </c>
      <c r="BC51" s="2">
        <v>0</v>
      </c>
      <c r="BD51" s="2">
        <v>0</v>
      </c>
      <c r="BE51" s="2">
        <v>0</v>
      </c>
      <c r="BF51" s="2">
        <v>1.9797</v>
      </c>
      <c r="BG51" s="2">
        <v>-8.9111999999999997E-2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2.17</v>
      </c>
      <c r="BN51" s="2">
        <v>0</v>
      </c>
      <c r="BO51" s="2">
        <v>0</v>
      </c>
      <c r="BP51" s="2">
        <v>0</v>
      </c>
      <c r="BQ51" s="2">
        <v>0</v>
      </c>
      <c r="BR51" s="2">
        <v>-0.105</v>
      </c>
      <c r="BS51" s="2">
        <v>2.2149999999999999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114.63</v>
      </c>
      <c r="DB51" s="2">
        <v>0</v>
      </c>
      <c r="DC51" s="2">
        <v>0</v>
      </c>
      <c r="DD51" s="2">
        <v>0</v>
      </c>
      <c r="DE51" s="2">
        <v>163.19639999999998</v>
      </c>
      <c r="DF51" s="2">
        <v>0</v>
      </c>
      <c r="DG51" s="2">
        <v>0</v>
      </c>
      <c r="DH51" s="2"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2"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6</v>
      </c>
      <c r="ED51" s="2">
        <v>0</v>
      </c>
      <c r="EE51" s="2">
        <v>0</v>
      </c>
      <c r="EF51" s="2">
        <v>0</v>
      </c>
      <c r="EG51" s="2">
        <v>0</v>
      </c>
      <c r="EH51" s="2">
        <v>0.62466637199999997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13.719747555</v>
      </c>
      <c r="EP51" s="2">
        <v>0</v>
      </c>
      <c r="EQ51" s="2">
        <v>0</v>
      </c>
      <c r="ER51" s="2">
        <v>0</v>
      </c>
      <c r="ES51" s="2">
        <v>0.67256427299999999</v>
      </c>
      <c r="ET51" s="2">
        <v>0</v>
      </c>
      <c r="EU51" s="2">
        <v>1.3374253599999999</v>
      </c>
      <c r="EV51" s="2">
        <v>0</v>
      </c>
      <c r="EW51" s="2">
        <v>4.2604307559999999</v>
      </c>
      <c r="EX51" s="2">
        <v>0</v>
      </c>
      <c r="EY51" s="2">
        <v>0.48646383999999998</v>
      </c>
      <c r="EZ51" s="2">
        <v>0.491711748</v>
      </c>
      <c r="FA51" s="2">
        <v>1.5189102929999998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1.1359999999999999</v>
      </c>
      <c r="FH51" s="2">
        <v>1.8926529209999998</v>
      </c>
      <c r="FI51" s="2">
        <v>1.91008325</v>
      </c>
      <c r="FJ51" s="2">
        <v>1.123</v>
      </c>
      <c r="FK51" s="2">
        <v>1.2712108100000001</v>
      </c>
      <c r="FL51" s="2">
        <v>2.99</v>
      </c>
      <c r="FM51" s="2">
        <v>0.56657499999999705</v>
      </c>
      <c r="FN51" s="2">
        <v>0</v>
      </c>
      <c r="FO51" s="2">
        <v>6.9</v>
      </c>
      <c r="FP51" s="2">
        <v>-0.55000000000000004</v>
      </c>
      <c r="FQ51" s="2">
        <v>1.5400561430000017</v>
      </c>
      <c r="FR51" s="2">
        <v>0.82749001699999991</v>
      </c>
      <c r="FS51" s="2">
        <v>0.5</v>
      </c>
      <c r="FT51" s="2">
        <v>2.625917329</v>
      </c>
      <c r="FU51" s="2">
        <v>3.9330174000000002</v>
      </c>
      <c r="FV51" s="2">
        <v>2.25</v>
      </c>
      <c r="FW51" s="2">
        <v>0</v>
      </c>
      <c r="FX51" s="2">
        <v>4.9801058720000002</v>
      </c>
      <c r="FY51" s="2">
        <v>6.5828753960000004</v>
      </c>
      <c r="FZ51" s="2">
        <v>0</v>
      </c>
      <c r="GA51" s="2">
        <v>1</v>
      </c>
      <c r="GB51" s="22">
        <v>3.4408794999999999E-2</v>
      </c>
      <c r="GC51" s="22">
        <v>5.1229815529999998</v>
      </c>
      <c r="GD51" s="22">
        <v>4.791001391</v>
      </c>
      <c r="GE51" s="22">
        <v>2</v>
      </c>
      <c r="GF51" s="22">
        <v>2.3643797869999998</v>
      </c>
      <c r="GG51" s="22">
        <v>0.70559759599999994</v>
      </c>
      <c r="GH51" s="22">
        <v>5.7144880000000002E-3</v>
      </c>
      <c r="GI51" s="22">
        <v>-5.7144879999999603E-3</v>
      </c>
      <c r="GJ51" s="22">
        <v>2.50888066</v>
      </c>
      <c r="GK51" s="22">
        <v>1.2</v>
      </c>
      <c r="GL51" s="23">
        <v>0</v>
      </c>
      <c r="GM51" s="23">
        <v>0</v>
      </c>
      <c r="GN51" s="23">
        <v>0</v>
      </c>
      <c r="GO51" s="23">
        <v>0</v>
      </c>
      <c r="GP51" s="23">
        <v>0</v>
      </c>
      <c r="GQ51" s="23">
        <v>0</v>
      </c>
      <c r="GR51" s="23">
        <v>4.3250000000000002</v>
      </c>
      <c r="GS51" s="23">
        <v>0</v>
      </c>
      <c r="GT51" s="23">
        <v>0</v>
      </c>
      <c r="GU51" s="23">
        <v>1.08</v>
      </c>
      <c r="GV51" s="23">
        <v>0</v>
      </c>
      <c r="GW51" s="23">
        <v>4.6639999999999997</v>
      </c>
      <c r="GX51" s="23">
        <v>0</v>
      </c>
      <c r="GY51" s="23">
        <v>0</v>
      </c>
      <c r="GZ51" s="23">
        <v>0</v>
      </c>
      <c r="HA51" s="23">
        <v>0</v>
      </c>
      <c r="HB51" s="23">
        <v>0</v>
      </c>
      <c r="HC51" s="23">
        <v>0</v>
      </c>
      <c r="HD51" s="23">
        <v>0</v>
      </c>
      <c r="HE51" s="23">
        <v>0</v>
      </c>
      <c r="HF51" s="23"/>
      <c r="HG51" s="23"/>
      <c r="HH51" s="23"/>
      <c r="HI51" s="23"/>
    </row>
    <row r="52" spans="1:217">
      <c r="A52" s="29" t="s">
        <v>62</v>
      </c>
      <c r="B52" s="2">
        <v>16.805984056</v>
      </c>
      <c r="C52" s="2">
        <v>20.294809470999997</v>
      </c>
      <c r="D52" s="2">
        <v>34.810246614</v>
      </c>
      <c r="E52" s="2">
        <v>32.702466968000003</v>
      </c>
      <c r="F52" s="2">
        <v>43.707696079999998</v>
      </c>
      <c r="G52" s="2">
        <v>46.576864571000002</v>
      </c>
      <c r="H52" s="2">
        <v>49.270596134000002</v>
      </c>
      <c r="I52" s="2">
        <v>26.038457860000001</v>
      </c>
      <c r="J52" s="2">
        <v>36.944532051000003</v>
      </c>
      <c r="K52" s="2">
        <v>52.494961023000002</v>
      </c>
      <c r="L52" s="2">
        <v>54.244287338999996</v>
      </c>
      <c r="M52" s="2">
        <v>141.011833986</v>
      </c>
      <c r="N52" s="2">
        <v>15.445228144000001</v>
      </c>
      <c r="O52" s="2">
        <v>24.123842691</v>
      </c>
      <c r="P52" s="2">
        <v>28.407291301999997</v>
      </c>
      <c r="Q52" s="2">
        <v>35.087070994000001</v>
      </c>
      <c r="R52" s="2">
        <v>49.281444699999994</v>
      </c>
      <c r="S52" s="2">
        <v>44.480333795999996</v>
      </c>
      <c r="T52" s="2">
        <v>56.073877014000004</v>
      </c>
      <c r="U52" s="2">
        <v>74.670021974000008</v>
      </c>
      <c r="V52" s="2">
        <v>68.502893783000005</v>
      </c>
      <c r="W52" s="2">
        <v>91.052607174000002</v>
      </c>
      <c r="X52" s="2">
        <v>57.465679340000001</v>
      </c>
      <c r="Y52" s="2">
        <v>136.57338136700002</v>
      </c>
      <c r="Z52" s="2">
        <v>7.3531309499999997</v>
      </c>
      <c r="AA52" s="2">
        <v>65.972189526000008</v>
      </c>
      <c r="AB52" s="2">
        <v>52.821105099999997</v>
      </c>
      <c r="AC52" s="2">
        <v>66.998459393000005</v>
      </c>
      <c r="AD52" s="2">
        <v>72.547898212000007</v>
      </c>
      <c r="AE52" s="2">
        <v>74.459740816999997</v>
      </c>
      <c r="AF52" s="2">
        <v>93.809465547000002</v>
      </c>
      <c r="AG52" s="2">
        <v>82.024526991000016</v>
      </c>
      <c r="AH52" s="2">
        <v>85.602731092999989</v>
      </c>
      <c r="AI52" s="2">
        <v>100.646980399</v>
      </c>
      <c r="AJ52" s="2">
        <v>117.98022793</v>
      </c>
      <c r="AK52" s="2">
        <v>131.24107903799998</v>
      </c>
      <c r="AL52" s="2">
        <v>24.762391468000004</v>
      </c>
      <c r="AM52" s="2">
        <v>35.357931700999998</v>
      </c>
      <c r="AN52" s="2">
        <v>56.791688667999999</v>
      </c>
      <c r="AO52" s="2">
        <v>80.761769602000001</v>
      </c>
      <c r="AP52" s="2">
        <v>79.760658409999991</v>
      </c>
      <c r="AQ52" s="2">
        <v>113.851414014</v>
      </c>
      <c r="AR52" s="2">
        <v>87.872685749999988</v>
      </c>
      <c r="AS52" s="2">
        <v>89.826078472999995</v>
      </c>
      <c r="AT52" s="2">
        <v>109.698134319</v>
      </c>
      <c r="AU52" s="2">
        <v>82.932106251000008</v>
      </c>
      <c r="AV52" s="2">
        <v>68.982358761</v>
      </c>
      <c r="AW52" s="2">
        <v>268.026673958</v>
      </c>
      <c r="AX52" s="2">
        <v>24.992571399999999</v>
      </c>
      <c r="AY52" s="2">
        <v>57.731463320000003</v>
      </c>
      <c r="AZ52" s="2">
        <v>74.677164110999996</v>
      </c>
      <c r="BA52" s="2">
        <v>74.714621864999998</v>
      </c>
      <c r="BB52" s="2">
        <v>93.003302239999996</v>
      </c>
      <c r="BC52" s="2">
        <v>91.505687828999996</v>
      </c>
      <c r="BD52" s="2">
        <v>108.208813761</v>
      </c>
      <c r="BE52" s="2">
        <v>127.16326567200001</v>
      </c>
      <c r="BF52" s="2">
        <v>108.825391614</v>
      </c>
      <c r="BG52" s="2">
        <v>123.62021772300001</v>
      </c>
      <c r="BH52" s="2">
        <v>143.17823016400001</v>
      </c>
      <c r="BI52" s="2">
        <v>226.37155871600001</v>
      </c>
      <c r="BJ52" s="2">
        <v>37.304915192999999</v>
      </c>
      <c r="BK52" s="2">
        <v>108.671485119</v>
      </c>
      <c r="BL52" s="2">
        <v>133.22433728800002</v>
      </c>
      <c r="BM52" s="2">
        <v>152.74125456199999</v>
      </c>
      <c r="BN52" s="2">
        <v>83.549110709999994</v>
      </c>
      <c r="BO52" s="2">
        <v>100.544693779</v>
      </c>
      <c r="BP52" s="2">
        <v>109.458703117</v>
      </c>
      <c r="BQ52" s="2">
        <v>84.588015968000008</v>
      </c>
      <c r="BR52" s="2">
        <v>122.617979373</v>
      </c>
      <c r="BS52" s="2">
        <v>102.08030851200002</v>
      </c>
      <c r="BT52" s="2">
        <v>110.57243021799999</v>
      </c>
      <c r="BU52" s="2">
        <v>275.40234193599997</v>
      </c>
      <c r="BV52" s="2">
        <v>41.474823604999997</v>
      </c>
      <c r="BW52" s="2">
        <v>91.123491812000012</v>
      </c>
      <c r="BX52" s="2">
        <v>197.86559048300001</v>
      </c>
      <c r="BY52" s="2">
        <v>137.11448788600001</v>
      </c>
      <c r="BZ52" s="2">
        <v>142.55378756500002</v>
      </c>
      <c r="CA52" s="2">
        <v>141.26278138800001</v>
      </c>
      <c r="CB52" s="2">
        <v>144.549562116</v>
      </c>
      <c r="CC52" s="2">
        <v>154.56547854299998</v>
      </c>
      <c r="CD52" s="2">
        <v>166.17149125999998</v>
      </c>
      <c r="CE52" s="2">
        <v>262.15222615300002</v>
      </c>
      <c r="CF52" s="2">
        <v>188.62618146599999</v>
      </c>
      <c r="CG52" s="2">
        <v>360.20077401399999</v>
      </c>
      <c r="CH52" s="2">
        <v>43.059994535000001</v>
      </c>
      <c r="CI52" s="2">
        <v>110.82361893500001</v>
      </c>
      <c r="CJ52" s="2">
        <v>106.296811529</v>
      </c>
      <c r="CK52" s="2">
        <v>113.74826407500001</v>
      </c>
      <c r="CL52" s="2">
        <v>109.459648827</v>
      </c>
      <c r="CM52" s="2">
        <v>322.40117886600001</v>
      </c>
      <c r="CN52" s="2">
        <v>148.678077914</v>
      </c>
      <c r="CO52" s="2">
        <v>158.62329784599999</v>
      </c>
      <c r="CP52" s="2">
        <v>130.62750248199998</v>
      </c>
      <c r="CQ52" s="2">
        <v>87.183668970000014</v>
      </c>
      <c r="CR52" s="2">
        <v>234.18436057300002</v>
      </c>
      <c r="CS52" s="2">
        <v>334.42987389699999</v>
      </c>
      <c r="CT52" s="2">
        <v>65.618939308999998</v>
      </c>
      <c r="CU52" s="2">
        <v>110.22480370099998</v>
      </c>
      <c r="CV52" s="2">
        <v>247.36438043200002</v>
      </c>
      <c r="CW52" s="2">
        <v>176.840303726</v>
      </c>
      <c r="CX52" s="2">
        <v>190.43727607900001</v>
      </c>
      <c r="CY52" s="2">
        <v>217.22462481000002</v>
      </c>
      <c r="CZ52" s="2">
        <v>230.72104071000001</v>
      </c>
      <c r="DA52" s="2">
        <v>187.96328598100001</v>
      </c>
      <c r="DB52" s="2">
        <v>159.371759446</v>
      </c>
      <c r="DC52" s="2">
        <v>202.70986193499999</v>
      </c>
      <c r="DD52" s="2">
        <v>184.77946818299998</v>
      </c>
      <c r="DE52" s="2">
        <v>486.660134658</v>
      </c>
      <c r="DF52" s="2">
        <v>10.902150959</v>
      </c>
      <c r="DG52" s="2">
        <v>323.881202637</v>
      </c>
      <c r="DH52" s="2">
        <v>302.13217729500002</v>
      </c>
      <c r="DI52" s="2">
        <v>375.92747076699999</v>
      </c>
      <c r="DJ52" s="2">
        <v>362.90561039500005</v>
      </c>
      <c r="DK52" s="2">
        <v>279.19234353100001</v>
      </c>
      <c r="DL52" s="2">
        <v>314.74451252799997</v>
      </c>
      <c r="DM52" s="2">
        <v>250.29202487599997</v>
      </c>
      <c r="DN52" s="2">
        <v>157.25444662800001</v>
      </c>
      <c r="DO52" s="2">
        <v>280.18002469500004</v>
      </c>
      <c r="DP52" s="2">
        <v>641.54582124699994</v>
      </c>
      <c r="DQ52" s="2">
        <v>465.74389949200003</v>
      </c>
      <c r="DR52" s="2">
        <v>434.17351784500011</v>
      </c>
      <c r="DS52" s="2">
        <v>330.69821631499997</v>
      </c>
      <c r="DT52" s="2">
        <v>319.026114382</v>
      </c>
      <c r="DU52" s="2">
        <v>259.02280214400002</v>
      </c>
      <c r="DV52" s="2">
        <v>293.48617594799998</v>
      </c>
      <c r="DW52" s="2">
        <v>223.268178971</v>
      </c>
      <c r="DX52" s="2">
        <v>253.28243298900003</v>
      </c>
      <c r="DY52" s="2">
        <v>213.97417318499998</v>
      </c>
      <c r="DZ52" s="2">
        <v>241.09377257</v>
      </c>
      <c r="EA52" s="2">
        <v>257.61923211499999</v>
      </c>
      <c r="EB52" s="2">
        <v>252.84987823199998</v>
      </c>
      <c r="EC52" s="2">
        <v>597.44640589799997</v>
      </c>
      <c r="ED52" s="2">
        <v>144.26294127200001</v>
      </c>
      <c r="EE52" s="2">
        <v>450.04494448399998</v>
      </c>
      <c r="EF52" s="2">
        <v>327.48123071300006</v>
      </c>
      <c r="EG52" s="2">
        <v>253.54164228400003</v>
      </c>
      <c r="EH52" s="2">
        <v>274.99996720499996</v>
      </c>
      <c r="EI52" s="2">
        <v>545.33580037500008</v>
      </c>
      <c r="EJ52" s="2">
        <v>448.81359667699996</v>
      </c>
      <c r="EK52" s="2">
        <v>300.89278990499997</v>
      </c>
      <c r="EL52" s="2">
        <v>319.76641300100005</v>
      </c>
      <c r="EM52" s="2">
        <v>277.23566569799999</v>
      </c>
      <c r="EN52" s="2">
        <v>420.81039583300003</v>
      </c>
      <c r="EO52" s="2">
        <v>455.75748658300006</v>
      </c>
      <c r="EP52" s="2">
        <v>163.39148287899997</v>
      </c>
      <c r="EQ52" s="2">
        <v>306.59877214300002</v>
      </c>
      <c r="ER52" s="2">
        <v>365.55941891599997</v>
      </c>
      <c r="ES52" s="2">
        <v>308.60725066099997</v>
      </c>
      <c r="ET52" s="2">
        <v>320.76216167799998</v>
      </c>
      <c r="EU52" s="2">
        <v>485.87014618299997</v>
      </c>
      <c r="EV52" s="2">
        <v>570.98245262</v>
      </c>
      <c r="EW52" s="2">
        <v>328.66764950799995</v>
      </c>
      <c r="EX52" s="2">
        <v>358.20244874899998</v>
      </c>
      <c r="EY52" s="2">
        <v>257.35118589700005</v>
      </c>
      <c r="EZ52" s="2">
        <v>293.43443728800003</v>
      </c>
      <c r="FA52" s="2">
        <v>612.14074054899993</v>
      </c>
      <c r="FB52" s="48">
        <v>255.54072481799997</v>
      </c>
      <c r="FC52" s="48">
        <v>573.94027261500003</v>
      </c>
      <c r="FD52" s="48">
        <v>364.413453248</v>
      </c>
      <c r="FE52" s="48">
        <v>329.06596167099997</v>
      </c>
      <c r="FF52" s="48">
        <v>370.54903032999994</v>
      </c>
      <c r="FG52" s="48">
        <v>345.57991905800003</v>
      </c>
      <c r="FH52" s="48">
        <v>308.04036888100001</v>
      </c>
      <c r="FI52" s="48">
        <v>309.02210298</v>
      </c>
      <c r="FJ52" s="48">
        <v>440.96913729099998</v>
      </c>
      <c r="FK52" s="48">
        <v>330.31763802</v>
      </c>
      <c r="FL52" s="48">
        <v>285.67608871500005</v>
      </c>
      <c r="FM52" s="48">
        <v>434.224302266</v>
      </c>
      <c r="FN52" s="48">
        <v>517.50675167600002</v>
      </c>
      <c r="FO52" s="48">
        <v>278.86899071199997</v>
      </c>
      <c r="FP52" s="48">
        <v>357.76417870900002</v>
      </c>
      <c r="FQ52" s="48">
        <v>528.72283641299998</v>
      </c>
      <c r="FR52" s="48">
        <v>345.84307136899997</v>
      </c>
      <c r="FS52" s="48">
        <v>340.10833314499996</v>
      </c>
      <c r="FT52" s="48">
        <v>347.08908324200002</v>
      </c>
      <c r="FU52" s="48">
        <v>326.04323042099998</v>
      </c>
      <c r="FV52" s="48">
        <v>346.08967543900002</v>
      </c>
      <c r="FW52" s="48">
        <v>367.832680106</v>
      </c>
      <c r="FX52" s="48">
        <v>387.02060099400001</v>
      </c>
      <c r="FY52" s="48">
        <v>434.59736499500002</v>
      </c>
      <c r="FZ52" s="48">
        <v>127.532051431</v>
      </c>
      <c r="GA52" s="48">
        <v>592.33260237900004</v>
      </c>
      <c r="GB52" s="22">
        <v>422.15688968199993</v>
      </c>
      <c r="GC52" s="22">
        <v>405.83094349099997</v>
      </c>
      <c r="GD52" s="22">
        <v>342.84316928399994</v>
      </c>
      <c r="GE52" s="22">
        <v>364.93244871700006</v>
      </c>
      <c r="GF52" s="22">
        <v>427.49231158099997</v>
      </c>
      <c r="GG52" s="22">
        <v>325.79208761299998</v>
      </c>
      <c r="GH52" s="22">
        <v>323.23854495799998</v>
      </c>
      <c r="GI52" s="22">
        <v>425.88654469100004</v>
      </c>
      <c r="GJ52" s="22">
        <v>430.13576946600006</v>
      </c>
      <c r="GK52" s="22">
        <v>548.19814410799995</v>
      </c>
      <c r="GL52" s="23">
        <v>263.931647919</v>
      </c>
      <c r="GM52" s="23">
        <v>454.009229699</v>
      </c>
      <c r="GN52" s="23">
        <v>494.31024075400006</v>
      </c>
      <c r="GO52" s="23">
        <v>353.98714081799994</v>
      </c>
      <c r="GP52" s="23">
        <v>471.07282336399999</v>
      </c>
      <c r="GQ52" s="23">
        <v>360.13939524599999</v>
      </c>
      <c r="GR52" s="23">
        <v>367.78305660499996</v>
      </c>
      <c r="GS52" s="23">
        <v>352.99451172299996</v>
      </c>
      <c r="GT52" s="23">
        <v>308.81639356400001</v>
      </c>
      <c r="GU52" s="23">
        <v>336.15601140399997</v>
      </c>
      <c r="GV52" s="23">
        <v>366.48232316499997</v>
      </c>
      <c r="GW52" s="23">
        <v>533.9795519999999</v>
      </c>
      <c r="GX52" s="23">
        <v>303.85200808399998</v>
      </c>
      <c r="GY52" s="23">
        <v>316.977507092</v>
      </c>
      <c r="GZ52" s="23">
        <v>347.24393796700008</v>
      </c>
      <c r="HA52" s="23">
        <v>355.52949793799996</v>
      </c>
      <c r="HB52" s="23">
        <v>332.33551036400002</v>
      </c>
      <c r="HC52" s="23">
        <v>312.69481249100005</v>
      </c>
      <c r="HD52" s="23">
        <v>400.81997443500001</v>
      </c>
      <c r="HE52" s="23">
        <v>372.58499547000008</v>
      </c>
      <c r="HF52" s="23"/>
      <c r="HG52" s="23"/>
      <c r="HH52" s="23"/>
      <c r="HI52" s="23"/>
    </row>
    <row r="53" spans="1:217" s="43" customFormat="1">
      <c r="A53" s="44" t="s">
        <v>59</v>
      </c>
      <c r="B53" s="45">
        <v>16.805984056</v>
      </c>
      <c r="C53" s="45">
        <v>20.200884130999999</v>
      </c>
      <c r="D53" s="45">
        <v>29.118247278000002</v>
      </c>
      <c r="E53" s="45">
        <v>24.122704330000001</v>
      </c>
      <c r="F53" s="45">
        <v>30.414046694</v>
      </c>
      <c r="G53" s="45">
        <v>30.304555990000001</v>
      </c>
      <c r="H53" s="45">
        <v>31.424022127000001</v>
      </c>
      <c r="I53" s="45">
        <v>19.012057860000002</v>
      </c>
      <c r="J53" s="45">
        <v>29.216267972000001</v>
      </c>
      <c r="K53" s="45">
        <v>27.492563347000001</v>
      </c>
      <c r="L53" s="45">
        <v>32.655560727999998</v>
      </c>
      <c r="M53" s="45">
        <v>60.248769449999998</v>
      </c>
      <c r="N53" s="45">
        <v>15.445228144000001</v>
      </c>
      <c r="O53" s="45">
        <v>24.123842691</v>
      </c>
      <c r="P53" s="45">
        <v>27.934030621999998</v>
      </c>
      <c r="Q53" s="45">
        <v>27.079317057000001</v>
      </c>
      <c r="R53" s="45">
        <v>32.186330024</v>
      </c>
      <c r="S53" s="45">
        <v>34.082058924999998</v>
      </c>
      <c r="T53" s="45">
        <v>38.203712937000006</v>
      </c>
      <c r="U53" s="45">
        <v>42.217256157000001</v>
      </c>
      <c r="V53" s="45">
        <v>39.206260214000004</v>
      </c>
      <c r="W53" s="45">
        <v>35.102978330999996</v>
      </c>
      <c r="X53" s="45">
        <v>31.683163042</v>
      </c>
      <c r="Y53" s="45">
        <v>62.739919672000006</v>
      </c>
      <c r="Z53" s="45">
        <v>7.3531309499999997</v>
      </c>
      <c r="AA53" s="45">
        <v>43.181278039000006</v>
      </c>
      <c r="AB53" s="45">
        <v>38.850522215999995</v>
      </c>
      <c r="AC53" s="45">
        <v>41.852539650000004</v>
      </c>
      <c r="AD53" s="45">
        <v>42.116948722000004</v>
      </c>
      <c r="AE53" s="45">
        <v>43.280765193999997</v>
      </c>
      <c r="AF53" s="45">
        <v>44.875958883000003</v>
      </c>
      <c r="AG53" s="45">
        <v>42.077036424000006</v>
      </c>
      <c r="AH53" s="45">
        <v>44.973168641999997</v>
      </c>
      <c r="AI53" s="45">
        <v>41.794821297000006</v>
      </c>
      <c r="AJ53" s="45">
        <v>45.908144782999997</v>
      </c>
      <c r="AK53" s="45">
        <v>70.640720231999993</v>
      </c>
      <c r="AL53" s="45">
        <v>24.162391468000003</v>
      </c>
      <c r="AM53" s="45">
        <v>29.698439887999999</v>
      </c>
      <c r="AN53" s="45">
        <v>37.925890142</v>
      </c>
      <c r="AO53" s="45">
        <v>40.882398996000006</v>
      </c>
      <c r="AP53" s="45">
        <v>45.160138130999997</v>
      </c>
      <c r="AQ53" s="45">
        <v>55.193891196999999</v>
      </c>
      <c r="AR53" s="45">
        <v>51.107192411999996</v>
      </c>
      <c r="AS53" s="45">
        <v>47.153406898999997</v>
      </c>
      <c r="AT53" s="45">
        <v>61.449554092999996</v>
      </c>
      <c r="AU53" s="45">
        <v>48.166825442000004</v>
      </c>
      <c r="AV53" s="45">
        <v>55.296429777999997</v>
      </c>
      <c r="AW53" s="45">
        <v>89.907872910000009</v>
      </c>
      <c r="AX53" s="45">
        <v>24.992571399999999</v>
      </c>
      <c r="AY53" s="45">
        <v>33.290347948000004</v>
      </c>
      <c r="AZ53" s="45">
        <v>43.507999652999999</v>
      </c>
      <c r="BA53" s="45">
        <v>49.354651104999995</v>
      </c>
      <c r="BB53" s="45">
        <v>51.081985445000001</v>
      </c>
      <c r="BC53" s="45">
        <v>54.442961813999993</v>
      </c>
      <c r="BD53" s="45">
        <v>61.871402025000002</v>
      </c>
      <c r="BE53" s="45">
        <v>66.976711890000004</v>
      </c>
      <c r="BF53" s="45">
        <v>58.728744119999995</v>
      </c>
      <c r="BG53" s="45">
        <v>64.436761024000006</v>
      </c>
      <c r="BH53" s="45">
        <v>72.707608208000011</v>
      </c>
      <c r="BI53" s="45">
        <v>93.743374402000001</v>
      </c>
      <c r="BJ53" s="45">
        <v>37.304915192999999</v>
      </c>
      <c r="BK53" s="45">
        <v>52.461360345000003</v>
      </c>
      <c r="BL53" s="45">
        <v>71.815015717000009</v>
      </c>
      <c r="BM53" s="45">
        <v>79.723947848999984</v>
      </c>
      <c r="BN53" s="45">
        <v>65.458546847999997</v>
      </c>
      <c r="BO53" s="45">
        <v>64.125654498000003</v>
      </c>
      <c r="BP53" s="45">
        <v>61.992020347999997</v>
      </c>
      <c r="BQ53" s="45">
        <v>66.461247073999999</v>
      </c>
      <c r="BR53" s="45">
        <v>71.696156363</v>
      </c>
      <c r="BS53" s="45">
        <v>58.155594303000001</v>
      </c>
      <c r="BT53" s="45">
        <v>58.759382019000007</v>
      </c>
      <c r="BU53" s="45">
        <v>132.926029895</v>
      </c>
      <c r="BV53" s="45">
        <v>41.333483604999998</v>
      </c>
      <c r="BW53" s="45">
        <v>58.720343285000013</v>
      </c>
      <c r="BX53" s="45">
        <v>92.210405367999996</v>
      </c>
      <c r="BY53" s="45">
        <v>87.862916609999999</v>
      </c>
      <c r="BZ53" s="45">
        <v>82.889686715000011</v>
      </c>
      <c r="CA53" s="45">
        <v>78.606813689000006</v>
      </c>
      <c r="CB53" s="45">
        <v>83.381535028000016</v>
      </c>
      <c r="CC53" s="45">
        <v>80.940893181999996</v>
      </c>
      <c r="CD53" s="45">
        <v>81.600393228999991</v>
      </c>
      <c r="CE53" s="45">
        <v>85.161423393999996</v>
      </c>
      <c r="CF53" s="45">
        <v>86.258740552000006</v>
      </c>
      <c r="CG53" s="45">
        <v>148.57997584200001</v>
      </c>
      <c r="CH53" s="45">
        <v>42.870691772000001</v>
      </c>
      <c r="CI53" s="45">
        <v>37.853591841000004</v>
      </c>
      <c r="CJ53" s="45">
        <v>58.158047947999997</v>
      </c>
      <c r="CK53" s="45">
        <v>60.027889653999999</v>
      </c>
      <c r="CL53" s="45">
        <v>55.870564223999992</v>
      </c>
      <c r="CM53" s="45">
        <v>245.104340595</v>
      </c>
      <c r="CN53" s="45">
        <v>96.775610497999992</v>
      </c>
      <c r="CO53" s="45">
        <v>96.48503930199999</v>
      </c>
      <c r="CP53" s="45">
        <v>54.577604688000001</v>
      </c>
      <c r="CQ53" s="45">
        <v>46.771579604999999</v>
      </c>
      <c r="CR53" s="45">
        <v>180.11192338200001</v>
      </c>
      <c r="CS53" s="45">
        <v>167.43122349200002</v>
      </c>
      <c r="CT53" s="45">
        <v>55.560929100999999</v>
      </c>
      <c r="CU53" s="45">
        <v>100.19925145399999</v>
      </c>
      <c r="CV53" s="45">
        <v>161.659989967</v>
      </c>
      <c r="CW53" s="45">
        <v>116.71331160699999</v>
      </c>
      <c r="CX53" s="45">
        <v>122.79337322400001</v>
      </c>
      <c r="CY53" s="45">
        <v>132.65816712300003</v>
      </c>
      <c r="CZ53" s="45">
        <v>125.47979170700002</v>
      </c>
      <c r="DA53" s="45">
        <v>108.689873906</v>
      </c>
      <c r="DB53" s="45">
        <v>107.68230712100001</v>
      </c>
      <c r="DC53" s="45">
        <v>102.16363439199999</v>
      </c>
      <c r="DD53" s="45">
        <v>100.53833144899998</v>
      </c>
      <c r="DE53" s="45">
        <v>189.86207984200001</v>
      </c>
      <c r="DF53" s="45">
        <v>10.854979828999999</v>
      </c>
      <c r="DG53" s="45">
        <v>155.65347553799998</v>
      </c>
      <c r="DH53" s="45">
        <v>185.97978904800001</v>
      </c>
      <c r="DI53" s="45">
        <v>217.52188673800001</v>
      </c>
      <c r="DJ53" s="45">
        <v>238.90941566600003</v>
      </c>
      <c r="DK53" s="45">
        <v>150.32043685700003</v>
      </c>
      <c r="DL53" s="45">
        <v>173.16525637499998</v>
      </c>
      <c r="DM53" s="45">
        <v>158.24312516699999</v>
      </c>
      <c r="DN53" s="45">
        <v>129.12306553400001</v>
      </c>
      <c r="DO53" s="45">
        <v>154.222871572</v>
      </c>
      <c r="DP53" s="45">
        <v>224.87133736299998</v>
      </c>
      <c r="DQ53" s="45">
        <v>299.66027390900001</v>
      </c>
      <c r="DR53" s="45">
        <v>168.77401256700003</v>
      </c>
      <c r="DS53" s="45">
        <v>197.34925366499999</v>
      </c>
      <c r="DT53" s="45">
        <v>147.52779904499999</v>
      </c>
      <c r="DU53" s="45">
        <v>168.94496740900001</v>
      </c>
      <c r="DV53" s="45">
        <v>186.606407932</v>
      </c>
      <c r="DW53" s="45">
        <v>166.92477174299998</v>
      </c>
      <c r="DX53" s="45">
        <v>155.98208634700001</v>
      </c>
      <c r="DY53" s="45">
        <v>144.82383976099999</v>
      </c>
      <c r="DZ53" s="45">
        <v>159.73018325500001</v>
      </c>
      <c r="EA53" s="45">
        <v>176.55920078</v>
      </c>
      <c r="EB53" s="45">
        <v>165.65615269199998</v>
      </c>
      <c r="EC53" s="45">
        <v>271.59878273300001</v>
      </c>
      <c r="ED53" s="45">
        <v>132.56064840400001</v>
      </c>
      <c r="EE53" s="45">
        <v>207.30648416299999</v>
      </c>
      <c r="EF53" s="45">
        <v>244.62764452200003</v>
      </c>
      <c r="EG53" s="45">
        <v>176.753902377</v>
      </c>
      <c r="EH53" s="45">
        <v>185.69725905599995</v>
      </c>
      <c r="EI53" s="45">
        <v>379.15219875800005</v>
      </c>
      <c r="EJ53" s="45">
        <v>250.17178297399997</v>
      </c>
      <c r="EK53" s="45">
        <v>178.143870932</v>
      </c>
      <c r="EL53" s="45">
        <v>192.39581350900002</v>
      </c>
      <c r="EM53" s="45">
        <v>184.59707040399999</v>
      </c>
      <c r="EN53" s="45">
        <v>210.764760717</v>
      </c>
      <c r="EO53" s="45">
        <v>281.47759107500002</v>
      </c>
      <c r="EP53" s="45">
        <v>50.346605464999996</v>
      </c>
      <c r="EQ53" s="45">
        <v>233.83910542500001</v>
      </c>
      <c r="ER53" s="45">
        <v>215.23615274399998</v>
      </c>
      <c r="ES53" s="45">
        <v>189.786544437</v>
      </c>
      <c r="ET53" s="45">
        <v>194.218130672</v>
      </c>
      <c r="EU53" s="45">
        <v>255.81648111299998</v>
      </c>
      <c r="EV53" s="45">
        <v>329.25029434700002</v>
      </c>
      <c r="EW53" s="45">
        <v>192.25427079899995</v>
      </c>
      <c r="EX53" s="45">
        <v>208.55339541399999</v>
      </c>
      <c r="EY53" s="45">
        <v>184.39438608400002</v>
      </c>
      <c r="EZ53" s="45">
        <v>186.56165160700002</v>
      </c>
      <c r="FA53" s="45">
        <v>325.64217379899998</v>
      </c>
      <c r="FB53" s="45">
        <v>157.98686274599999</v>
      </c>
      <c r="FC53" s="45">
        <v>316.92429028500004</v>
      </c>
      <c r="FD53" s="45">
        <v>209.15901172599999</v>
      </c>
      <c r="FE53" s="45">
        <v>225.52668555999998</v>
      </c>
      <c r="FF53" s="45">
        <v>203.13245683099996</v>
      </c>
      <c r="FG53" s="45">
        <v>204.08030385300003</v>
      </c>
      <c r="FH53" s="45">
        <v>200.69906630200001</v>
      </c>
      <c r="FI53" s="45">
        <v>205.31962964899998</v>
      </c>
      <c r="FJ53" s="45">
        <v>252.338639551</v>
      </c>
      <c r="FK53" s="45">
        <v>194.21165241599999</v>
      </c>
      <c r="FL53" s="45">
        <v>187.22707831800003</v>
      </c>
      <c r="FM53" s="45">
        <v>300.099800453</v>
      </c>
      <c r="FN53" s="45">
        <v>215.02634494</v>
      </c>
      <c r="FO53" s="45">
        <v>257.96706353899998</v>
      </c>
      <c r="FP53" s="45">
        <v>254.20926917699998</v>
      </c>
      <c r="FQ53" s="45">
        <v>272.45320788699996</v>
      </c>
      <c r="FR53" s="45">
        <v>229.43776863099998</v>
      </c>
      <c r="FS53" s="45">
        <v>240.56213568299998</v>
      </c>
      <c r="FT53" s="45">
        <v>214.458235804</v>
      </c>
      <c r="FU53" s="45">
        <v>175.02662086299995</v>
      </c>
      <c r="FV53" s="45">
        <v>216.38287396000004</v>
      </c>
      <c r="FW53" s="45">
        <v>195.72910191</v>
      </c>
      <c r="FX53" s="45">
        <v>189.45195053499998</v>
      </c>
      <c r="FY53" s="45">
        <v>296.25563512400004</v>
      </c>
      <c r="FZ53" s="45">
        <v>124.772780055</v>
      </c>
      <c r="GA53" s="45">
        <v>319.98408295600001</v>
      </c>
      <c r="GB53" s="41">
        <v>254.58757993199998</v>
      </c>
      <c r="GC53" s="41">
        <v>242.38541536899999</v>
      </c>
      <c r="GD53" s="41">
        <v>204.47390823399994</v>
      </c>
      <c r="GE53" s="41">
        <v>237.04541385600004</v>
      </c>
      <c r="GF53" s="41">
        <v>236.553387249</v>
      </c>
      <c r="GG53" s="41">
        <v>189.07799764499998</v>
      </c>
      <c r="GH53" s="41">
        <v>239.39601325799998</v>
      </c>
      <c r="GI53" s="41">
        <v>247.421913171</v>
      </c>
      <c r="GJ53" s="41">
        <v>250.50084935600003</v>
      </c>
      <c r="GK53" s="41">
        <v>370.51043251599998</v>
      </c>
      <c r="GL53" s="42">
        <v>169.117060885</v>
      </c>
      <c r="GM53" s="42">
        <v>225.60132692699997</v>
      </c>
      <c r="GN53" s="42">
        <v>276.79219692400005</v>
      </c>
      <c r="GO53" s="42">
        <v>237.89888585699995</v>
      </c>
      <c r="GP53" s="42">
        <v>284.94348504200002</v>
      </c>
      <c r="GQ53" s="42">
        <v>253.55628886400001</v>
      </c>
      <c r="GR53" s="42">
        <v>247.88898621899997</v>
      </c>
      <c r="GS53" s="42">
        <v>254.19496274299999</v>
      </c>
      <c r="GT53" s="42">
        <v>226.28365650800001</v>
      </c>
      <c r="GU53" s="42">
        <v>241.22398978999999</v>
      </c>
      <c r="GV53" s="42">
        <v>289.03644607999996</v>
      </c>
      <c r="GW53" s="42">
        <v>389.32624622999992</v>
      </c>
      <c r="GX53" s="42">
        <v>190.28405762299997</v>
      </c>
      <c r="GY53" s="42">
        <v>236.825137595</v>
      </c>
      <c r="GZ53" s="42">
        <v>257.98765522200006</v>
      </c>
      <c r="HA53" s="42">
        <v>245.48238980199997</v>
      </c>
      <c r="HB53" s="42">
        <v>287.24945634300002</v>
      </c>
      <c r="HC53" s="42">
        <v>260.59406391700003</v>
      </c>
      <c r="HD53" s="42">
        <v>341.67571359800002</v>
      </c>
      <c r="HE53" s="42">
        <v>327.10465705500008</v>
      </c>
      <c r="HF53" s="42"/>
      <c r="HG53" s="42"/>
      <c r="HH53" s="42"/>
      <c r="HI53" s="42"/>
    </row>
    <row r="54" spans="1:217">
      <c r="A54" s="29" t="s">
        <v>60</v>
      </c>
      <c r="B54" s="2">
        <v>0</v>
      </c>
      <c r="C54" s="2">
        <v>9.392534000000001E-2</v>
      </c>
      <c r="D54" s="2">
        <v>5.6919993360000003</v>
      </c>
      <c r="E54" s="2">
        <v>8.5797626380000001</v>
      </c>
      <c r="F54" s="2">
        <v>13.293649386</v>
      </c>
      <c r="G54" s="2">
        <v>16.272308581000001</v>
      </c>
      <c r="H54" s="2">
        <v>17.846574007000001</v>
      </c>
      <c r="I54" s="2">
        <v>7.0263999999999998</v>
      </c>
      <c r="J54" s="2">
        <v>7.7282640789999997</v>
      </c>
      <c r="K54" s="2">
        <v>25.002397676000001</v>
      </c>
      <c r="L54" s="2">
        <v>21.588726610999998</v>
      </c>
      <c r="M54" s="2">
        <v>80.763064536000002</v>
      </c>
      <c r="N54" s="2">
        <v>0</v>
      </c>
      <c r="O54" s="2">
        <v>0</v>
      </c>
      <c r="P54" s="2">
        <v>0.47326067999999999</v>
      </c>
      <c r="Q54" s="2">
        <v>8.0077539370000004</v>
      </c>
      <c r="R54" s="2">
        <v>17.095114675999998</v>
      </c>
      <c r="S54" s="2">
        <v>10.398274871</v>
      </c>
      <c r="T54" s="2">
        <v>17.870164077000002</v>
      </c>
      <c r="U54" s="2">
        <v>32.452765817</v>
      </c>
      <c r="V54" s="2">
        <v>29.296633568999997</v>
      </c>
      <c r="W54" s="2">
        <v>55.949628842999999</v>
      </c>
      <c r="X54" s="2">
        <v>25.782516298000001</v>
      </c>
      <c r="Y54" s="2">
        <v>73.833461695000011</v>
      </c>
      <c r="Z54" s="2">
        <v>0</v>
      </c>
      <c r="AA54" s="2">
        <v>22.790911487000002</v>
      </c>
      <c r="AB54" s="2">
        <v>13.970582884000001</v>
      </c>
      <c r="AC54" s="2">
        <v>25.145919743</v>
      </c>
      <c r="AD54" s="2">
        <v>30.43094949</v>
      </c>
      <c r="AE54" s="2">
        <v>31.178975622999999</v>
      </c>
      <c r="AF54" s="2">
        <v>48.933506663999999</v>
      </c>
      <c r="AG54" s="2">
        <v>39.947490567000003</v>
      </c>
      <c r="AH54" s="2">
        <v>40.629562450999998</v>
      </c>
      <c r="AI54" s="2">
        <v>58.852159102000002</v>
      </c>
      <c r="AJ54" s="2">
        <v>72.072083147000001</v>
      </c>
      <c r="AK54" s="2">
        <v>60.600358805999996</v>
      </c>
      <c r="AL54" s="2">
        <v>0.6</v>
      </c>
      <c r="AM54" s="2">
        <v>5.6594918129999998</v>
      </c>
      <c r="AN54" s="2">
        <v>18.865798525999999</v>
      </c>
      <c r="AO54" s="2">
        <v>39.879370605999995</v>
      </c>
      <c r="AP54" s="2">
        <v>34.600520279000001</v>
      </c>
      <c r="AQ54" s="2">
        <v>58.657522817</v>
      </c>
      <c r="AR54" s="2">
        <v>36.765493337999999</v>
      </c>
      <c r="AS54" s="2">
        <v>42.672671573999999</v>
      </c>
      <c r="AT54" s="2">
        <v>48.248580226000009</v>
      </c>
      <c r="AU54" s="2">
        <v>34.765280809000004</v>
      </c>
      <c r="AV54" s="2">
        <v>13.685928983</v>
      </c>
      <c r="AW54" s="2">
        <v>178.11880104799999</v>
      </c>
      <c r="AX54" s="2">
        <v>0</v>
      </c>
      <c r="AY54" s="2">
        <v>24.441115371999999</v>
      </c>
      <c r="AZ54" s="2">
        <v>31.169164458000001</v>
      </c>
      <c r="BA54" s="2">
        <v>25.35997076</v>
      </c>
      <c r="BB54" s="2">
        <v>41.921316794999996</v>
      </c>
      <c r="BC54" s="2">
        <v>37.062726015000003</v>
      </c>
      <c r="BD54" s="2">
        <v>46.337411736</v>
      </c>
      <c r="BE54" s="2">
        <v>60.186553782000004</v>
      </c>
      <c r="BF54" s="2">
        <v>50.096647494000003</v>
      </c>
      <c r="BG54" s="2">
        <v>59.183456699000004</v>
      </c>
      <c r="BH54" s="2">
        <v>70.470621956000002</v>
      </c>
      <c r="BI54" s="2">
        <v>132.62818431400001</v>
      </c>
      <c r="BJ54" s="2">
        <v>0</v>
      </c>
      <c r="BK54" s="2">
        <v>56.210124773999993</v>
      </c>
      <c r="BL54" s="2">
        <v>61.409321571000007</v>
      </c>
      <c r="BM54" s="2">
        <v>73.017306712999996</v>
      </c>
      <c r="BN54" s="2">
        <v>18.090563862</v>
      </c>
      <c r="BO54" s="2">
        <v>36.419039280999996</v>
      </c>
      <c r="BP54" s="2">
        <v>47.466682769000002</v>
      </c>
      <c r="BQ54" s="2">
        <v>18.126768894000001</v>
      </c>
      <c r="BR54" s="2">
        <v>50.92182300999999</v>
      </c>
      <c r="BS54" s="2">
        <v>43.924714209000008</v>
      </c>
      <c r="BT54" s="2">
        <v>51.813048198999994</v>
      </c>
      <c r="BU54" s="2">
        <v>142.476312041</v>
      </c>
      <c r="BV54" s="2">
        <v>0.14133999999999999</v>
      </c>
      <c r="BW54" s="2">
        <v>32.403148526999999</v>
      </c>
      <c r="BX54" s="2">
        <v>105.65518511499999</v>
      </c>
      <c r="BY54" s="2">
        <v>49.251571276</v>
      </c>
      <c r="BZ54" s="2">
        <v>59.664100850000004</v>
      </c>
      <c r="CA54" s="2">
        <v>62.655967698999994</v>
      </c>
      <c r="CB54" s="2">
        <v>61.168027087999995</v>
      </c>
      <c r="CC54" s="2">
        <v>73.624585361000001</v>
      </c>
      <c r="CD54" s="2">
        <v>84.571098031000005</v>
      </c>
      <c r="CE54" s="2">
        <v>176.99080275900002</v>
      </c>
      <c r="CF54" s="2">
        <v>102.367440914</v>
      </c>
      <c r="CG54" s="2">
        <v>211.62079817199998</v>
      </c>
      <c r="CH54" s="2">
        <v>0.18930276299999999</v>
      </c>
      <c r="CI54" s="2">
        <v>72.970027094000002</v>
      </c>
      <c r="CJ54" s="2">
        <v>48.138763580999999</v>
      </c>
      <c r="CK54" s="2">
        <v>53.720374421000002</v>
      </c>
      <c r="CL54" s="2">
        <v>53.589084602999996</v>
      </c>
      <c r="CM54" s="2">
        <v>77.296838270999999</v>
      </c>
      <c r="CN54" s="2">
        <v>51.902467416000007</v>
      </c>
      <c r="CO54" s="2">
        <v>62.138258544000003</v>
      </c>
      <c r="CP54" s="2">
        <v>76.049897793999989</v>
      </c>
      <c r="CQ54" s="2">
        <v>40.412089365000007</v>
      </c>
      <c r="CR54" s="2">
        <v>54.072437191000006</v>
      </c>
      <c r="CS54" s="2">
        <v>166.99865040500001</v>
      </c>
      <c r="CT54" s="2">
        <v>10.058010207999999</v>
      </c>
      <c r="CU54" s="2">
        <v>10.025552247</v>
      </c>
      <c r="CV54" s="2">
        <v>85.704390465000003</v>
      </c>
      <c r="CW54" s="2">
        <v>60.126992119000001</v>
      </c>
      <c r="CX54" s="2">
        <v>67.643902854999993</v>
      </c>
      <c r="CY54" s="2">
        <v>84.566457686999996</v>
      </c>
      <c r="CZ54" s="2">
        <v>105.24124900299999</v>
      </c>
      <c r="DA54" s="2">
        <v>79.273412074999996</v>
      </c>
      <c r="DB54" s="2">
        <v>51.689452324999998</v>
      </c>
      <c r="DC54" s="2">
        <v>100.54622754299999</v>
      </c>
      <c r="DD54" s="2">
        <v>84.241136733999994</v>
      </c>
      <c r="DE54" s="2">
        <v>296.79805481599999</v>
      </c>
      <c r="DF54" s="2">
        <v>4.7171129999999999E-2</v>
      </c>
      <c r="DG54" s="2">
        <v>168.22772709900002</v>
      </c>
      <c r="DH54" s="2">
        <v>116.15238824699999</v>
      </c>
      <c r="DI54" s="2">
        <v>158.40558402899998</v>
      </c>
      <c r="DJ54" s="2">
        <v>123.996194729</v>
      </c>
      <c r="DK54" s="2">
        <v>128.871906674</v>
      </c>
      <c r="DL54" s="2">
        <v>141.57925615299999</v>
      </c>
      <c r="DM54" s="2">
        <v>92.048899708999997</v>
      </c>
      <c r="DN54" s="2">
        <v>28.131381094000002</v>
      </c>
      <c r="DO54" s="2">
        <v>125.95715312300001</v>
      </c>
      <c r="DP54" s="2">
        <v>416.67448388399998</v>
      </c>
      <c r="DQ54" s="2">
        <v>166.08362558300001</v>
      </c>
      <c r="DR54" s="2">
        <v>265.39950527800005</v>
      </c>
      <c r="DS54" s="2">
        <v>133.34896265</v>
      </c>
      <c r="DT54" s="2">
        <v>171.49831533700001</v>
      </c>
      <c r="DU54" s="2">
        <v>90.077834734999996</v>
      </c>
      <c r="DV54" s="2">
        <v>106.879768016</v>
      </c>
      <c r="DW54" s="2">
        <v>56.343407228000004</v>
      </c>
      <c r="DX54" s="2">
        <v>97.300346642000008</v>
      </c>
      <c r="DY54" s="2">
        <v>69.150333423999996</v>
      </c>
      <c r="DZ54" s="2">
        <v>81.363589314999984</v>
      </c>
      <c r="EA54" s="2">
        <v>81.060031334999991</v>
      </c>
      <c r="EB54" s="2">
        <v>87.193725540000003</v>
      </c>
      <c r="EC54" s="2">
        <v>325.84762316500002</v>
      </c>
      <c r="ED54" s="2">
        <v>11.702292868000001</v>
      </c>
      <c r="EE54" s="2">
        <v>242.73846032100002</v>
      </c>
      <c r="EF54" s="2">
        <v>82.853586191000005</v>
      </c>
      <c r="EG54" s="2">
        <v>76.787739907000017</v>
      </c>
      <c r="EH54" s="2">
        <v>89.302708149000011</v>
      </c>
      <c r="EI54" s="2">
        <v>166.18360161699999</v>
      </c>
      <c r="EJ54" s="2">
        <v>198.641813703</v>
      </c>
      <c r="EK54" s="2">
        <v>122.74891897299999</v>
      </c>
      <c r="EL54" s="2">
        <v>127.37059949200001</v>
      </c>
      <c r="EM54" s="2">
        <v>92.638595294000012</v>
      </c>
      <c r="EN54" s="2">
        <v>210.045635116</v>
      </c>
      <c r="EO54" s="2">
        <v>174.27989550800001</v>
      </c>
      <c r="EP54" s="2">
        <v>113.04487741399998</v>
      </c>
      <c r="EQ54" s="2">
        <v>72.759666718000005</v>
      </c>
      <c r="ER54" s="2">
        <v>150.32326617199999</v>
      </c>
      <c r="ES54" s="2">
        <v>118.82070622399999</v>
      </c>
      <c r="ET54" s="2">
        <v>126.54403100599998</v>
      </c>
      <c r="EU54" s="2">
        <v>230.05366506999999</v>
      </c>
      <c r="EV54" s="2">
        <v>241.73215827300001</v>
      </c>
      <c r="EW54" s="2">
        <v>136.41337870899997</v>
      </c>
      <c r="EX54" s="2">
        <v>149.64905333499999</v>
      </c>
      <c r="EY54" s="2">
        <v>72.956799813000003</v>
      </c>
      <c r="EZ54" s="2">
        <v>106.872785681</v>
      </c>
      <c r="FA54" s="2">
        <v>286.49856674999995</v>
      </c>
      <c r="FB54" s="2">
        <v>97.553862071999987</v>
      </c>
      <c r="FC54" s="2">
        <v>257.01598232999999</v>
      </c>
      <c r="FD54" s="2">
        <v>155.25444152200001</v>
      </c>
      <c r="FE54" s="2">
        <v>103.53927611099999</v>
      </c>
      <c r="FF54" s="2">
        <v>167.41657349899998</v>
      </c>
      <c r="FG54" s="2">
        <v>141.499615205</v>
      </c>
      <c r="FH54" s="2">
        <v>107.34130257900001</v>
      </c>
      <c r="FI54" s="2">
        <v>103.70247333099999</v>
      </c>
      <c r="FJ54" s="2">
        <v>188.63049773999998</v>
      </c>
      <c r="FK54" s="2">
        <v>136.10598560400001</v>
      </c>
      <c r="FL54" s="2">
        <v>98.449010397000009</v>
      </c>
      <c r="FM54" s="2">
        <v>134.12450181299999</v>
      </c>
      <c r="FN54" s="2">
        <v>302.48040673600002</v>
      </c>
      <c r="FO54" s="2">
        <v>20.901927173000001</v>
      </c>
      <c r="FP54" s="2">
        <v>103.55490953200001</v>
      </c>
      <c r="FQ54" s="2">
        <v>256.26962852600002</v>
      </c>
      <c r="FR54" s="2">
        <v>116.405302738</v>
      </c>
      <c r="FS54" s="2">
        <v>99.546197461999995</v>
      </c>
      <c r="FT54" s="2">
        <v>132.63084743799999</v>
      </c>
      <c r="FU54" s="2">
        <v>151.016609558</v>
      </c>
      <c r="FV54" s="2">
        <v>129.70680147899998</v>
      </c>
      <c r="FW54" s="2">
        <v>172.10357819600003</v>
      </c>
      <c r="FX54" s="2">
        <v>197.568650459</v>
      </c>
      <c r="FY54" s="2">
        <v>138.34172987100001</v>
      </c>
      <c r="FZ54" s="2">
        <v>2.7592713760000001</v>
      </c>
      <c r="GA54" s="2">
        <v>272.34851942299997</v>
      </c>
      <c r="GB54" s="22">
        <v>167.56930974999997</v>
      </c>
      <c r="GC54" s="22">
        <v>163.44552812200001</v>
      </c>
      <c r="GD54" s="22">
        <v>138.36926105000001</v>
      </c>
      <c r="GE54" s="22">
        <v>127.88703486099999</v>
      </c>
      <c r="GF54" s="22">
        <v>190.93892433199997</v>
      </c>
      <c r="GG54" s="22">
        <v>136.714089968</v>
      </c>
      <c r="GH54" s="22">
        <v>83.842531700000009</v>
      </c>
      <c r="GI54" s="22">
        <v>178.46463152000001</v>
      </c>
      <c r="GJ54" s="22">
        <v>179.63492011</v>
      </c>
      <c r="GK54" s="22">
        <v>177.687711592</v>
      </c>
      <c r="GL54" s="23">
        <v>94.814587034000013</v>
      </c>
      <c r="GM54" s="23">
        <v>228.407902772</v>
      </c>
      <c r="GN54" s="23">
        <v>217.51804383000001</v>
      </c>
      <c r="GO54" s="23">
        <v>116.088254961</v>
      </c>
      <c r="GP54" s="23">
        <v>186.12933832199997</v>
      </c>
      <c r="GQ54" s="23">
        <v>106.583106382</v>
      </c>
      <c r="GR54" s="23">
        <v>119.89407038600001</v>
      </c>
      <c r="GS54" s="23">
        <v>98.799548979999997</v>
      </c>
      <c r="GT54" s="23">
        <v>82.532737056000002</v>
      </c>
      <c r="GU54" s="23">
        <v>94.932021613999993</v>
      </c>
      <c r="GV54" s="23">
        <v>77.445877085000006</v>
      </c>
      <c r="GW54" s="23">
        <v>144.65330577</v>
      </c>
      <c r="GX54" s="23">
        <v>113.567950461</v>
      </c>
      <c r="GY54" s="23">
        <v>80.152369496999995</v>
      </c>
      <c r="GZ54" s="23">
        <v>89.256282745000007</v>
      </c>
      <c r="HA54" s="23">
        <v>110.04710813600001</v>
      </c>
      <c r="HB54" s="23">
        <v>45.086054021000002</v>
      </c>
      <c r="HC54" s="23">
        <v>52.100748574000001</v>
      </c>
      <c r="HD54" s="23">
        <v>59.144260837000004</v>
      </c>
      <c r="HE54" s="23">
        <v>45.480338414999999</v>
      </c>
      <c r="HF54" s="23"/>
      <c r="HG54" s="23"/>
      <c r="HH54" s="23"/>
      <c r="HI54" s="23"/>
    </row>
    <row r="55" spans="1:217" s="43" customFormat="1">
      <c r="A55" s="44" t="s">
        <v>78</v>
      </c>
      <c r="B55" s="45">
        <v>71.074951000000013</v>
      </c>
      <c r="C55" s="45">
        <v>71.449133728999996</v>
      </c>
      <c r="D55" s="45">
        <v>72.577503191999995</v>
      </c>
      <c r="E55" s="45">
        <v>73.087695015999998</v>
      </c>
      <c r="F55" s="45">
        <v>73.691335201999991</v>
      </c>
      <c r="G55" s="45">
        <v>75.193315506999994</v>
      </c>
      <c r="H55" s="45">
        <v>75.076807719999991</v>
      </c>
      <c r="I55" s="45">
        <v>75.158258710000013</v>
      </c>
      <c r="J55" s="45">
        <v>74.647624777000004</v>
      </c>
      <c r="K55" s="45">
        <v>75.218873841000004</v>
      </c>
      <c r="L55" s="45">
        <v>78.018579887000001</v>
      </c>
      <c r="M55" s="45">
        <v>145.710186088</v>
      </c>
      <c r="N55" s="45">
        <v>72.644384697000007</v>
      </c>
      <c r="O55" s="45">
        <v>73.301810293000003</v>
      </c>
      <c r="P55" s="45">
        <v>76.056815360000016</v>
      </c>
      <c r="Q55" s="45">
        <v>74.798975628999997</v>
      </c>
      <c r="R55" s="45">
        <v>75.942538807000005</v>
      </c>
      <c r="S55" s="45">
        <v>1.9407417430000002</v>
      </c>
      <c r="T55" s="45">
        <v>154.96850677500001</v>
      </c>
      <c r="U55" s="45">
        <v>77.724489470000009</v>
      </c>
      <c r="V55" s="45">
        <v>9.8951361609999999</v>
      </c>
      <c r="W55" s="45">
        <v>156.81579504499999</v>
      </c>
      <c r="X55" s="45">
        <v>80.733147117000001</v>
      </c>
      <c r="Y55" s="45">
        <v>111.14984113</v>
      </c>
      <c r="Z55" s="45">
        <v>55.485869911000002</v>
      </c>
      <c r="AA55" s="45">
        <v>112.91905761699999</v>
      </c>
      <c r="AB55" s="45">
        <v>89.238728932000001</v>
      </c>
      <c r="AC55" s="45">
        <v>87.750503280000004</v>
      </c>
      <c r="AD55" s="45">
        <v>88.499035654000011</v>
      </c>
      <c r="AE55" s="45">
        <v>95.032492139999988</v>
      </c>
      <c r="AF55" s="45">
        <v>122.77013897299999</v>
      </c>
      <c r="AG55" s="45">
        <v>96.758591938000009</v>
      </c>
      <c r="AH55" s="45">
        <v>93.667887081000003</v>
      </c>
      <c r="AI55" s="45">
        <v>93.646477365999999</v>
      </c>
      <c r="AJ55" s="45">
        <v>93.447664113000002</v>
      </c>
      <c r="AK55" s="45">
        <v>124.14292353099998</v>
      </c>
      <c r="AL55" s="45">
        <v>94.617402780000006</v>
      </c>
      <c r="AM55" s="45">
        <v>99.534505339000006</v>
      </c>
      <c r="AN55" s="45">
        <v>98.575673800999994</v>
      </c>
      <c r="AO55" s="45">
        <v>98.255128120999998</v>
      </c>
      <c r="AP55" s="45">
        <v>142.24278755500001</v>
      </c>
      <c r="AQ55" s="45">
        <v>98.358132581000007</v>
      </c>
      <c r="AR55" s="45">
        <v>100.72538216800001</v>
      </c>
      <c r="AS55" s="45">
        <v>99.668258534999993</v>
      </c>
      <c r="AT55" s="45">
        <v>99.50569390199999</v>
      </c>
      <c r="AU55" s="45">
        <v>98.741710828999999</v>
      </c>
      <c r="AV55" s="45">
        <v>100.811057612</v>
      </c>
      <c r="AW55" s="45">
        <v>161.91646080099997</v>
      </c>
      <c r="AX55" s="45">
        <v>99.704999147999999</v>
      </c>
      <c r="AY55" s="45">
        <v>101.9603327</v>
      </c>
      <c r="AZ55" s="45">
        <v>134.38780029099999</v>
      </c>
      <c r="BA55" s="45">
        <v>102.304209069</v>
      </c>
      <c r="BB55" s="45">
        <v>124.13737358</v>
      </c>
      <c r="BC55" s="45">
        <v>112.5461081</v>
      </c>
      <c r="BD55" s="45">
        <v>123.26277819999999</v>
      </c>
      <c r="BE55" s="45">
        <v>102.643670646</v>
      </c>
      <c r="BF55" s="45">
        <v>104.06138598000003</v>
      </c>
      <c r="BG55" s="45">
        <v>104.81346463999999</v>
      </c>
      <c r="BH55" s="45">
        <v>77.082940618000009</v>
      </c>
      <c r="BI55" s="45">
        <v>232.019542758</v>
      </c>
      <c r="BJ55" s="45">
        <v>104.31244107500001</v>
      </c>
      <c r="BK55" s="45">
        <v>108.57176137</v>
      </c>
      <c r="BL55" s="45">
        <v>114.36137784799998</v>
      </c>
      <c r="BM55" s="45">
        <v>111.25498790099999</v>
      </c>
      <c r="BN55" s="45">
        <v>109.86443260600001</v>
      </c>
      <c r="BO55" s="45">
        <v>118.281542825</v>
      </c>
      <c r="BP55" s="45">
        <v>115.64041770500002</v>
      </c>
      <c r="BQ55" s="45">
        <v>109.54068813200001</v>
      </c>
      <c r="BR55" s="45">
        <v>109.407231201</v>
      </c>
      <c r="BS55" s="45">
        <v>117.172911661</v>
      </c>
      <c r="BT55" s="45">
        <v>120.029131487</v>
      </c>
      <c r="BU55" s="45">
        <v>194.740625384</v>
      </c>
      <c r="BV55" s="45">
        <v>123.69230318700002</v>
      </c>
      <c r="BW55" s="45">
        <v>127.625768714</v>
      </c>
      <c r="BX55" s="45">
        <v>137.786107848</v>
      </c>
      <c r="BY55" s="45">
        <v>124.922932285</v>
      </c>
      <c r="BZ55" s="45">
        <v>150.83753866000001</v>
      </c>
      <c r="CA55" s="45">
        <v>132.19608158399998</v>
      </c>
      <c r="CB55" s="45">
        <v>142.76763463199998</v>
      </c>
      <c r="CC55" s="45">
        <v>122.83885601</v>
      </c>
      <c r="CD55" s="45">
        <v>139.17255263900003</v>
      </c>
      <c r="CE55" s="45">
        <v>132.19019811199999</v>
      </c>
      <c r="CF55" s="45">
        <v>131.14247412500001</v>
      </c>
      <c r="CG55" s="45">
        <v>220.07737859</v>
      </c>
      <c r="CH55" s="45">
        <v>138.67984235500001</v>
      </c>
      <c r="CI55" s="45">
        <v>128.33728794999999</v>
      </c>
      <c r="CJ55" s="45">
        <v>127.788107091</v>
      </c>
      <c r="CK55" s="45">
        <v>205.88447335000001</v>
      </c>
      <c r="CL55" s="45">
        <v>133.24841913399999</v>
      </c>
      <c r="CM55" s="45">
        <v>137.00150501200002</v>
      </c>
      <c r="CN55" s="45">
        <v>128.16501265799999</v>
      </c>
      <c r="CO55" s="45">
        <v>147.83983014899999</v>
      </c>
      <c r="CP55" s="45">
        <v>137.98863823199997</v>
      </c>
      <c r="CQ55" s="45">
        <v>125.011244639</v>
      </c>
      <c r="CR55" s="45">
        <v>140.454348103</v>
      </c>
      <c r="CS55" s="45">
        <v>314.66543605700002</v>
      </c>
      <c r="CT55" s="45">
        <v>129.94450331100001</v>
      </c>
      <c r="CU55" s="45">
        <v>185.58987043299999</v>
      </c>
      <c r="CV55" s="45">
        <v>151.114262795</v>
      </c>
      <c r="CW55" s="45">
        <v>179.17255342499999</v>
      </c>
      <c r="CX55" s="45">
        <v>162.27479966800001</v>
      </c>
      <c r="CY55" s="45">
        <v>143.44496258699999</v>
      </c>
      <c r="CZ55" s="45">
        <v>143.34255120699999</v>
      </c>
      <c r="DA55" s="45">
        <v>151.98960040599999</v>
      </c>
      <c r="DB55" s="45">
        <v>154.27535551900002</v>
      </c>
      <c r="DC55" s="45">
        <v>153.36958450100002</v>
      </c>
      <c r="DD55" s="45">
        <v>194.23450538099999</v>
      </c>
      <c r="DE55" s="45">
        <v>325.68677926099997</v>
      </c>
      <c r="DF55" s="45">
        <v>207.22274620599998</v>
      </c>
      <c r="DG55" s="45">
        <v>172.66675899399999</v>
      </c>
      <c r="DH55" s="45">
        <v>195.560448275</v>
      </c>
      <c r="DI55" s="45">
        <v>179.93041316600002</v>
      </c>
      <c r="DJ55" s="45">
        <v>216.67204374100001</v>
      </c>
      <c r="DK55" s="45">
        <v>174.886075742</v>
      </c>
      <c r="DL55" s="45">
        <v>201.60464684900001</v>
      </c>
      <c r="DM55" s="45">
        <v>222.84591242799996</v>
      </c>
      <c r="DN55" s="45">
        <v>190.25480025499999</v>
      </c>
      <c r="DO55" s="45">
        <v>219.79046133599996</v>
      </c>
      <c r="DP55" s="45">
        <v>251.78118041800002</v>
      </c>
      <c r="DQ55" s="45">
        <v>325.91102592900006</v>
      </c>
      <c r="DR55" s="45">
        <v>263.33559034199999</v>
      </c>
      <c r="DS55" s="45">
        <v>244.04133759199996</v>
      </c>
      <c r="DT55" s="45">
        <v>189.52938563499998</v>
      </c>
      <c r="DU55" s="45">
        <v>230.30859748200001</v>
      </c>
      <c r="DV55" s="45">
        <v>222.52614503499998</v>
      </c>
      <c r="DW55" s="45">
        <v>202.102102702</v>
      </c>
      <c r="DX55" s="45">
        <v>215.84703725800003</v>
      </c>
      <c r="DY55" s="45">
        <v>271.01398129099999</v>
      </c>
      <c r="DZ55" s="45">
        <v>223.09627220900001</v>
      </c>
      <c r="EA55" s="45">
        <v>251.19132636099999</v>
      </c>
      <c r="EB55" s="45">
        <v>241.78250998600001</v>
      </c>
      <c r="EC55" s="45">
        <v>399.88838369799998</v>
      </c>
      <c r="ED55" s="45">
        <v>238.43966071700001</v>
      </c>
      <c r="EE55" s="45">
        <v>255.39815095099999</v>
      </c>
      <c r="EF55" s="45">
        <v>245.648307706</v>
      </c>
      <c r="EG55" s="45">
        <v>291.06124691599996</v>
      </c>
      <c r="EH55" s="45">
        <v>238.84079901300001</v>
      </c>
      <c r="EI55" s="45">
        <v>276.59974458799996</v>
      </c>
      <c r="EJ55" s="45">
        <v>238.995203971</v>
      </c>
      <c r="EK55" s="45">
        <v>316.27313285599996</v>
      </c>
      <c r="EL55" s="45">
        <v>255.41199177500002</v>
      </c>
      <c r="EM55" s="45">
        <v>291.85382599700006</v>
      </c>
      <c r="EN55" s="45">
        <v>271.91454233999997</v>
      </c>
      <c r="EO55" s="45">
        <v>455.65687067700003</v>
      </c>
      <c r="EP55" s="45">
        <v>253.799432422</v>
      </c>
      <c r="EQ55" s="45">
        <v>307.48679157999999</v>
      </c>
      <c r="ER55" s="45">
        <v>276.69621993500004</v>
      </c>
      <c r="ES55" s="45">
        <v>328.03464518700002</v>
      </c>
      <c r="ET55" s="45">
        <v>296.54539699999998</v>
      </c>
      <c r="EU55" s="45">
        <v>324.65579609899999</v>
      </c>
      <c r="EV55" s="45">
        <v>288.209367966</v>
      </c>
      <c r="EW55" s="45">
        <v>367.76076541800001</v>
      </c>
      <c r="EX55" s="45">
        <v>290.66804872700004</v>
      </c>
      <c r="EY55" s="45">
        <v>341.02245227699996</v>
      </c>
      <c r="EZ55" s="45">
        <v>290.30383565299996</v>
      </c>
      <c r="FA55" s="45">
        <v>508.01586128700001</v>
      </c>
      <c r="FB55" s="46">
        <v>275.85550780300002</v>
      </c>
      <c r="FC55" s="46">
        <v>289.79147610899997</v>
      </c>
      <c r="FD55" s="46">
        <v>337.93845605000001</v>
      </c>
      <c r="FE55" s="46">
        <v>295.84329470599994</v>
      </c>
      <c r="FF55" s="46">
        <v>366.76680859800001</v>
      </c>
      <c r="FG55" s="46">
        <v>298.02015229099999</v>
      </c>
      <c r="FH55" s="46">
        <v>342.465321668</v>
      </c>
      <c r="FI55" s="46">
        <v>309.959534443</v>
      </c>
      <c r="FJ55" s="46">
        <v>348.99125207399999</v>
      </c>
      <c r="FK55" s="46">
        <v>353.17803569199998</v>
      </c>
      <c r="FL55" s="46">
        <v>310.91066068600003</v>
      </c>
      <c r="FM55" s="46">
        <v>537.61130320599989</v>
      </c>
      <c r="FN55" s="46">
        <v>300.20310387500001</v>
      </c>
      <c r="FO55" s="46">
        <v>365.77098095700001</v>
      </c>
      <c r="FP55" s="46">
        <v>318.26151523199997</v>
      </c>
      <c r="FQ55" s="46">
        <v>322.68578282000004</v>
      </c>
      <c r="FR55" s="46">
        <v>376.96767199999999</v>
      </c>
      <c r="FS55" s="46">
        <v>374.57735664799998</v>
      </c>
      <c r="FT55" s="46">
        <v>342.91957180999998</v>
      </c>
      <c r="FU55" s="46">
        <v>435.58982205699999</v>
      </c>
      <c r="FV55" s="46">
        <v>341.82164018000003</v>
      </c>
      <c r="FW55" s="46">
        <v>405.65988953800002</v>
      </c>
      <c r="FX55" s="46">
        <v>373.81618688200001</v>
      </c>
      <c r="FY55" s="46">
        <v>670.24088352800004</v>
      </c>
      <c r="FZ55" s="46">
        <v>349.39086182900002</v>
      </c>
      <c r="GA55" s="46">
        <v>433.68759</v>
      </c>
      <c r="GB55" s="41">
        <v>390.87317562099997</v>
      </c>
      <c r="GC55" s="41">
        <v>446.80661520099994</v>
      </c>
      <c r="GD55" s="41">
        <v>375.84804326400001</v>
      </c>
      <c r="GE55" s="41">
        <v>441.60078218199999</v>
      </c>
      <c r="GF55" s="41">
        <v>384.47328896199997</v>
      </c>
      <c r="GG55" s="41">
        <v>440.15060186900001</v>
      </c>
      <c r="GH55" s="41">
        <v>450.74842664199997</v>
      </c>
      <c r="GI55" s="41">
        <v>440.57357561400005</v>
      </c>
      <c r="GJ55" s="41">
        <v>459.19078236499996</v>
      </c>
      <c r="GK55" s="41">
        <v>639.72748189099991</v>
      </c>
      <c r="GL55" s="42">
        <v>467.30226858900005</v>
      </c>
      <c r="GM55" s="42">
        <v>415.2540907660001</v>
      </c>
      <c r="GN55" s="42">
        <v>396.32590138899997</v>
      </c>
      <c r="GO55" s="42">
        <v>466.584760303</v>
      </c>
      <c r="GP55" s="42">
        <v>472.26558760899997</v>
      </c>
      <c r="GQ55" s="42">
        <v>413.47083427100006</v>
      </c>
      <c r="GR55" s="42">
        <v>473.00049294600001</v>
      </c>
      <c r="GS55" s="42">
        <v>465.95867923299994</v>
      </c>
      <c r="GT55" s="42">
        <v>492.79707500000001</v>
      </c>
      <c r="GU55" s="42">
        <v>418.74891749899996</v>
      </c>
      <c r="GV55" s="42">
        <v>528.48112983199997</v>
      </c>
      <c r="GW55" s="42">
        <v>708.09949345900009</v>
      </c>
      <c r="GX55" s="42">
        <v>497.644703252</v>
      </c>
      <c r="GY55" s="42">
        <v>461.07844755899998</v>
      </c>
      <c r="GZ55" s="42">
        <v>503.29528442100002</v>
      </c>
      <c r="HA55" s="42">
        <v>1229.9007744839998</v>
      </c>
      <c r="HB55" s="42">
        <v>669.81188811800007</v>
      </c>
      <c r="HC55" s="42">
        <v>778.32101483199995</v>
      </c>
      <c r="HD55" s="42">
        <v>454.23279160800007</v>
      </c>
      <c r="HE55" s="42">
        <v>876.81813617000012</v>
      </c>
      <c r="HF55" s="42"/>
      <c r="HG55" s="42"/>
      <c r="HH55" s="42"/>
      <c r="HI55" s="42"/>
    </row>
    <row r="56" spans="1:217" customFormat="1">
      <c r="A56" s="47" t="s">
        <v>277</v>
      </c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3">
        <v>257.98908180300003</v>
      </c>
      <c r="GM56" s="23">
        <v>253.06689306000004</v>
      </c>
      <c r="GN56" s="23">
        <v>246.25933965699997</v>
      </c>
      <c r="GO56" s="23">
        <v>246.85269870800002</v>
      </c>
      <c r="GP56" s="23">
        <v>256.54627120399999</v>
      </c>
      <c r="GQ56" s="23">
        <v>265.01656797600003</v>
      </c>
      <c r="GR56" s="23">
        <v>258.59651798900001</v>
      </c>
      <c r="GS56" s="23">
        <v>270.13242737599995</v>
      </c>
      <c r="GT56" s="23">
        <v>269.444279295</v>
      </c>
      <c r="GU56" s="23">
        <v>268.60895899799999</v>
      </c>
      <c r="GV56" s="23">
        <v>270.37621960000001</v>
      </c>
      <c r="GW56" s="23">
        <v>277.82686889799999</v>
      </c>
      <c r="GX56" s="23">
        <v>262.32104478499997</v>
      </c>
      <c r="GY56" s="23">
        <v>285.17527377499999</v>
      </c>
      <c r="GZ56" s="23">
        <v>273.63009894400005</v>
      </c>
      <c r="HA56" s="23">
        <v>281.73489987100004</v>
      </c>
      <c r="HB56" s="23">
        <v>278.83563601900005</v>
      </c>
      <c r="HC56" s="23">
        <v>286.08662753999999</v>
      </c>
      <c r="HD56" s="23">
        <v>288.82947146900005</v>
      </c>
      <c r="HE56" s="23">
        <v>293.68029157500001</v>
      </c>
    </row>
    <row r="57" spans="1:217" customFormat="1">
      <c r="A57" s="47" t="s">
        <v>278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3">
        <v>188.63525771800002</v>
      </c>
      <c r="GM57" s="23">
        <v>130.23248864600001</v>
      </c>
      <c r="GN57" s="23">
        <v>119.59878081399999</v>
      </c>
      <c r="GO57" s="23">
        <v>187.61820272400001</v>
      </c>
      <c r="GP57" s="23">
        <v>191.20652166399998</v>
      </c>
      <c r="GQ57" s="23">
        <v>127.967578167</v>
      </c>
      <c r="GR57" s="23">
        <v>193.47332342599998</v>
      </c>
      <c r="GS57" s="23">
        <v>175.99342715</v>
      </c>
      <c r="GT57" s="23">
        <v>201.41020817200001</v>
      </c>
      <c r="GU57" s="23">
        <v>129.854928702</v>
      </c>
      <c r="GV57" s="23">
        <v>231.92967161799999</v>
      </c>
      <c r="GW57" s="23">
        <v>376.24204010600005</v>
      </c>
      <c r="GX57" s="23">
        <v>214.613616073</v>
      </c>
      <c r="GY57" s="23">
        <v>145.20234210999999</v>
      </c>
      <c r="GZ57" s="23">
        <v>199.14616286099999</v>
      </c>
      <c r="HA57" s="23">
        <v>911.55902036499992</v>
      </c>
      <c r="HB57" s="23">
        <v>372.93146080300005</v>
      </c>
      <c r="HC57" s="23">
        <v>468.82750163700001</v>
      </c>
      <c r="HD57" s="23">
        <v>145.687918317</v>
      </c>
      <c r="HE57" s="23">
        <v>560.65437749099999</v>
      </c>
    </row>
    <row r="58" spans="1:217" customFormat="1">
      <c r="A58" s="47" t="s">
        <v>279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3">
        <v>20.677929068000001</v>
      </c>
      <c r="GM58" s="23">
        <v>31.954709060000003</v>
      </c>
      <c r="GN58" s="23">
        <v>30.467780917999995</v>
      </c>
      <c r="GO58" s="23">
        <v>32.113858870999998</v>
      </c>
      <c r="GP58" s="23">
        <v>24.512794741</v>
      </c>
      <c r="GQ58" s="23">
        <v>20.486688127999997</v>
      </c>
      <c r="GR58" s="23">
        <v>20.930651530999999</v>
      </c>
      <c r="GS58" s="23">
        <v>19.832824707</v>
      </c>
      <c r="GT58" s="23">
        <v>21.942587532999998</v>
      </c>
      <c r="GU58" s="23">
        <v>20.285029799</v>
      </c>
      <c r="GV58" s="23">
        <v>26.175238614000001</v>
      </c>
      <c r="GW58" s="23">
        <v>54.030584455000003</v>
      </c>
      <c r="GX58" s="23">
        <v>20.710042394000002</v>
      </c>
      <c r="GY58" s="23">
        <v>30.700831674000003</v>
      </c>
      <c r="GZ58" s="23">
        <v>30.519022615999997</v>
      </c>
      <c r="HA58" s="23">
        <v>36.606854247999998</v>
      </c>
      <c r="HB58" s="23">
        <v>18.044791296</v>
      </c>
      <c r="HC58" s="23">
        <v>23.406885655000004</v>
      </c>
      <c r="HD58" s="23">
        <v>19.715401822</v>
      </c>
      <c r="HE58" s="23">
        <v>22.483467103999999</v>
      </c>
    </row>
    <row r="59" spans="1:217">
      <c r="A59" s="29" t="s">
        <v>79</v>
      </c>
      <c r="B59" s="2">
        <v>0.274083996</v>
      </c>
      <c r="C59" s="2">
        <v>1.2783590220000001</v>
      </c>
      <c r="D59" s="2">
        <v>10.106584218</v>
      </c>
      <c r="E59" s="2">
        <v>6.587424607</v>
      </c>
      <c r="F59" s="2">
        <v>3.2804050659999997</v>
      </c>
      <c r="G59" s="2">
        <v>4.5146033250000004</v>
      </c>
      <c r="H59" s="2">
        <v>6.0650230790000004</v>
      </c>
      <c r="I59" s="2">
        <v>2.7414600149999999</v>
      </c>
      <c r="J59" s="2">
        <v>3.8551494739999996</v>
      </c>
      <c r="K59" s="2">
        <v>7.405916566000001</v>
      </c>
      <c r="L59" s="2">
        <v>8.4247335519999993</v>
      </c>
      <c r="M59" s="2">
        <v>14.55654358</v>
      </c>
      <c r="N59" s="2">
        <v>0</v>
      </c>
      <c r="O59" s="2">
        <v>0.83168760199999991</v>
      </c>
      <c r="P59" s="2">
        <v>7.0895072619999997</v>
      </c>
      <c r="Q59" s="2">
        <v>10.997773762000001</v>
      </c>
      <c r="R59" s="2">
        <v>5.1737031840000007</v>
      </c>
      <c r="S59" s="2">
        <v>11.215641931</v>
      </c>
      <c r="T59" s="2">
        <v>6.0674325649999998</v>
      </c>
      <c r="U59" s="2">
        <v>10.086459014000001</v>
      </c>
      <c r="V59" s="2">
        <v>7.002365857</v>
      </c>
      <c r="W59" s="2">
        <v>10.764038352</v>
      </c>
      <c r="X59" s="2">
        <v>8.0050914370000008</v>
      </c>
      <c r="Y59" s="2">
        <v>8.4855645210000006</v>
      </c>
      <c r="Z59" s="2">
        <v>0.41795373200000008</v>
      </c>
      <c r="AA59" s="2">
        <v>8.4271518619999988</v>
      </c>
      <c r="AB59" s="2">
        <v>10.984365088999999</v>
      </c>
      <c r="AC59" s="2">
        <v>11.289789358</v>
      </c>
      <c r="AD59" s="2">
        <v>13.626617962999999</v>
      </c>
      <c r="AE59" s="2">
        <v>15.232103224999999</v>
      </c>
      <c r="AF59" s="2">
        <v>8.0440056809999998</v>
      </c>
      <c r="AG59" s="2">
        <v>8.8234195970000009</v>
      </c>
      <c r="AH59" s="2">
        <v>20.193858841999997</v>
      </c>
      <c r="AI59" s="2">
        <v>6.5591272309999997</v>
      </c>
      <c r="AJ59" s="2">
        <v>12.793353095000002</v>
      </c>
      <c r="AK59" s="2">
        <v>16.060877537000003</v>
      </c>
      <c r="AL59" s="2">
        <v>4.0294906250000002</v>
      </c>
      <c r="AM59" s="2">
        <v>9.7830652620000009</v>
      </c>
      <c r="AN59" s="2">
        <v>11.510811249</v>
      </c>
      <c r="AO59" s="2">
        <v>18.440088898000003</v>
      </c>
      <c r="AP59" s="2">
        <v>7.4847773749999993</v>
      </c>
      <c r="AQ59" s="2">
        <v>7.2476017060000002</v>
      </c>
      <c r="AR59" s="2">
        <v>9.4643533990000002</v>
      </c>
      <c r="AS59" s="2">
        <v>12.477845794999997</v>
      </c>
      <c r="AT59" s="2">
        <v>6.4472347440000002</v>
      </c>
      <c r="AU59" s="2">
        <v>20.702174528</v>
      </c>
      <c r="AV59" s="2">
        <v>13.244286320999999</v>
      </c>
      <c r="AW59" s="2">
        <v>38.329354610000003</v>
      </c>
      <c r="AX59" s="2">
        <v>1.0245624769999999</v>
      </c>
      <c r="AY59" s="2">
        <v>21.548377443000003</v>
      </c>
      <c r="AZ59" s="2">
        <v>15.601926688999999</v>
      </c>
      <c r="BA59" s="2">
        <v>19.012809025000003</v>
      </c>
      <c r="BB59" s="2">
        <v>12.473309082000002</v>
      </c>
      <c r="BC59" s="2">
        <v>16.424867421999998</v>
      </c>
      <c r="BD59" s="2">
        <v>7.681139205</v>
      </c>
      <c r="BE59" s="2">
        <v>16.482424188999996</v>
      </c>
      <c r="BF59" s="2">
        <v>62.912857246000002</v>
      </c>
      <c r="BG59" s="2">
        <v>22.973746735999995</v>
      </c>
      <c r="BH59" s="2">
        <v>16.365057923000002</v>
      </c>
      <c r="BI59" s="2">
        <v>47.126155876999995</v>
      </c>
      <c r="BJ59" s="2">
        <v>2.0044162340000002</v>
      </c>
      <c r="BK59" s="2">
        <v>16.949566858000001</v>
      </c>
      <c r="BL59" s="2">
        <v>77.923525753000007</v>
      </c>
      <c r="BM59" s="2">
        <v>33.054953217000005</v>
      </c>
      <c r="BN59" s="2">
        <v>14.776026394000001</v>
      </c>
      <c r="BO59" s="2">
        <v>10.593598066</v>
      </c>
      <c r="BP59" s="2">
        <v>73.584160548999989</v>
      </c>
      <c r="BQ59" s="2">
        <v>25.062000142000006</v>
      </c>
      <c r="BR59" s="2">
        <v>52.577608904000002</v>
      </c>
      <c r="BS59" s="2">
        <v>49.057416712000006</v>
      </c>
      <c r="BT59" s="2">
        <v>31.372865898000004</v>
      </c>
      <c r="BU59" s="2">
        <v>35.907846044000003</v>
      </c>
      <c r="BV59" s="2">
        <v>4.2579682129999998</v>
      </c>
      <c r="BW59" s="2">
        <v>35.393783237000001</v>
      </c>
      <c r="BX59" s="2">
        <v>30.378491783000001</v>
      </c>
      <c r="BY59" s="2">
        <v>22.142907877999995</v>
      </c>
      <c r="BZ59" s="2">
        <v>82.146520011000007</v>
      </c>
      <c r="CA59" s="2">
        <v>39.935686767000007</v>
      </c>
      <c r="CB59" s="2">
        <v>20.944976704999998</v>
      </c>
      <c r="CC59" s="2">
        <v>32.997046355999998</v>
      </c>
      <c r="CD59" s="2">
        <v>23.544707989000003</v>
      </c>
      <c r="CE59" s="2">
        <v>17.904239236999999</v>
      </c>
      <c r="CF59" s="2">
        <v>33.006085291999995</v>
      </c>
      <c r="CG59" s="2">
        <v>115.07214641899999</v>
      </c>
      <c r="CH59" s="2">
        <v>3.3279905899999997</v>
      </c>
      <c r="CI59" s="2">
        <v>9.9043996669999999</v>
      </c>
      <c r="CJ59" s="2">
        <v>55.958403494999999</v>
      </c>
      <c r="CK59" s="2">
        <v>17.860290653</v>
      </c>
      <c r="CL59" s="2">
        <v>12.543347907000001</v>
      </c>
      <c r="CM59" s="2">
        <v>28.48190752</v>
      </c>
      <c r="CN59" s="2">
        <v>36.354396941000005</v>
      </c>
      <c r="CO59" s="2">
        <v>22.302882314999998</v>
      </c>
      <c r="CP59" s="2">
        <v>51.658210644</v>
      </c>
      <c r="CQ59" s="2">
        <v>69.674315851000003</v>
      </c>
      <c r="CR59" s="2">
        <v>26.033987947</v>
      </c>
      <c r="CS59" s="2">
        <v>101.94891497200001</v>
      </c>
      <c r="CT59" s="2">
        <v>7.3487424880000001</v>
      </c>
      <c r="CU59" s="2">
        <v>8.1160620029999997</v>
      </c>
      <c r="CV59" s="2">
        <v>68.292849293000003</v>
      </c>
      <c r="CW59" s="2">
        <v>55.569807673</v>
      </c>
      <c r="CX59" s="2">
        <v>27.949620325000001</v>
      </c>
      <c r="CY59" s="2">
        <v>87.135574728999984</v>
      </c>
      <c r="CZ59" s="2">
        <v>35.770887380000005</v>
      </c>
      <c r="DA59" s="2">
        <v>97.953934957999991</v>
      </c>
      <c r="DB59" s="2">
        <v>16.809362166</v>
      </c>
      <c r="DC59" s="2">
        <v>67.743290540999993</v>
      </c>
      <c r="DD59" s="2">
        <v>120.082226897</v>
      </c>
      <c r="DE59" s="2">
        <v>165.74794993100002</v>
      </c>
      <c r="DF59" s="2">
        <v>24.344535265000001</v>
      </c>
      <c r="DG59" s="2">
        <v>17.2492676</v>
      </c>
      <c r="DH59" s="2">
        <v>92.668648565000012</v>
      </c>
      <c r="DI59" s="2">
        <v>87.302595037000003</v>
      </c>
      <c r="DJ59" s="2">
        <v>52.578629928000012</v>
      </c>
      <c r="DK59" s="2">
        <v>48.351356980999995</v>
      </c>
      <c r="DL59" s="2">
        <v>33.352124971000009</v>
      </c>
      <c r="DM59" s="2">
        <v>31.744386909999996</v>
      </c>
      <c r="DN59" s="2">
        <v>25.585045276000002</v>
      </c>
      <c r="DO59" s="2">
        <v>98.216838274000011</v>
      </c>
      <c r="DP59" s="2">
        <v>232.80458291200003</v>
      </c>
      <c r="DQ59" s="2">
        <v>164.55068897000001</v>
      </c>
      <c r="DR59" s="2">
        <v>58.078451048999995</v>
      </c>
      <c r="DS59" s="2">
        <v>118.67407465700001</v>
      </c>
      <c r="DT59" s="2">
        <v>24.567740848</v>
      </c>
      <c r="DU59" s="2">
        <v>67.862585177999989</v>
      </c>
      <c r="DV59" s="2">
        <v>42.761818557999995</v>
      </c>
      <c r="DW59" s="2">
        <v>19.353208248000001</v>
      </c>
      <c r="DX59" s="2">
        <v>35.204355656000004</v>
      </c>
      <c r="DY59" s="2">
        <v>21.253740576999999</v>
      </c>
      <c r="DZ59" s="2">
        <v>29.438092931</v>
      </c>
      <c r="EA59" s="2">
        <v>30.423182098000005</v>
      </c>
      <c r="EB59" s="2">
        <v>58.035311870999998</v>
      </c>
      <c r="EC59" s="2">
        <v>73.511004729999996</v>
      </c>
      <c r="ED59" s="2">
        <v>3.353797524</v>
      </c>
      <c r="EE59" s="2">
        <v>7.9484114700000008</v>
      </c>
      <c r="EF59" s="2">
        <v>33.828560875000001</v>
      </c>
      <c r="EG59" s="2">
        <v>32.744279372000001</v>
      </c>
      <c r="EH59" s="2">
        <v>26.190175999999997</v>
      </c>
      <c r="EI59" s="2">
        <v>37.115367071000001</v>
      </c>
      <c r="EJ59" s="2">
        <v>57.798659901999997</v>
      </c>
      <c r="EK59" s="2">
        <v>28.971477681</v>
      </c>
      <c r="EL59" s="2">
        <v>58.939452170000003</v>
      </c>
      <c r="EM59" s="2">
        <v>62.149950294000007</v>
      </c>
      <c r="EN59" s="2">
        <v>67.351305663000005</v>
      </c>
      <c r="EO59" s="2">
        <v>159.08978129400001</v>
      </c>
      <c r="EP59" s="2">
        <v>22.492145149999999</v>
      </c>
      <c r="EQ59" s="2">
        <v>20.931285069000001</v>
      </c>
      <c r="ER59" s="2">
        <v>40.086437867000001</v>
      </c>
      <c r="ES59" s="2">
        <v>70.894553003000013</v>
      </c>
      <c r="ET59" s="2">
        <v>154.14108099799998</v>
      </c>
      <c r="EU59" s="2">
        <v>61.369846382999995</v>
      </c>
      <c r="EV59" s="2">
        <v>68.312943406000002</v>
      </c>
      <c r="EW59" s="2">
        <v>38.925910674999997</v>
      </c>
      <c r="EX59" s="2">
        <v>42.547082946999993</v>
      </c>
      <c r="EY59" s="2">
        <v>60.307482069000002</v>
      </c>
      <c r="EZ59" s="2">
        <v>43.641368819</v>
      </c>
      <c r="FA59" s="2">
        <v>67.49702416400001</v>
      </c>
      <c r="FB59" s="48">
        <v>23.950607856000005</v>
      </c>
      <c r="FC59" s="48">
        <v>12.302333464</v>
      </c>
      <c r="FD59" s="48">
        <v>64.307565525999991</v>
      </c>
      <c r="FE59" s="48">
        <v>30.091929961999995</v>
      </c>
      <c r="FF59" s="48">
        <v>102.069566049</v>
      </c>
      <c r="FG59" s="48">
        <v>113.946012686</v>
      </c>
      <c r="FH59" s="48">
        <v>85.483673495999994</v>
      </c>
      <c r="FI59" s="48">
        <v>91.163983752999997</v>
      </c>
      <c r="FJ59" s="48">
        <v>98.316349931999994</v>
      </c>
      <c r="FK59" s="48">
        <v>91.248844703999993</v>
      </c>
      <c r="FL59" s="48">
        <v>48.177914572999995</v>
      </c>
      <c r="FM59" s="48">
        <v>120.94069498299999</v>
      </c>
      <c r="FN59" s="48">
        <v>15.629612392999999</v>
      </c>
      <c r="FO59" s="48">
        <v>36.566523359000001</v>
      </c>
      <c r="FP59" s="48">
        <v>45.831767760000005</v>
      </c>
      <c r="FQ59" s="48">
        <v>29.515955534999996</v>
      </c>
      <c r="FR59" s="48">
        <v>226.06523013</v>
      </c>
      <c r="FS59" s="48">
        <v>43.449226006999986</v>
      </c>
      <c r="FT59" s="48">
        <v>140.56732704500001</v>
      </c>
      <c r="FU59" s="48">
        <v>68.236142521999994</v>
      </c>
      <c r="FV59" s="48">
        <v>32.203319028999992</v>
      </c>
      <c r="FW59" s="48">
        <v>196.69897443500003</v>
      </c>
      <c r="FX59" s="48">
        <v>50.374985195000001</v>
      </c>
      <c r="FY59" s="48">
        <v>247.27638509200003</v>
      </c>
      <c r="FZ59" s="48">
        <v>15.535458508000001</v>
      </c>
      <c r="GA59" s="48">
        <v>16.478898116999996</v>
      </c>
      <c r="GB59" s="22">
        <v>47.650208969999994</v>
      </c>
      <c r="GC59" s="22">
        <v>277.32184515299997</v>
      </c>
      <c r="GD59" s="22">
        <v>137.56732992400001</v>
      </c>
      <c r="GE59" s="22">
        <v>161.867289134</v>
      </c>
      <c r="GF59" s="22">
        <v>41.506179793000001</v>
      </c>
      <c r="GG59" s="22">
        <v>44.464304812999998</v>
      </c>
      <c r="GH59" s="22">
        <v>105.950904463</v>
      </c>
      <c r="GI59" s="22">
        <v>96.884273274000009</v>
      </c>
      <c r="GJ59" s="22">
        <v>43.383726784000004</v>
      </c>
      <c r="GK59" s="22">
        <v>96.474021269999994</v>
      </c>
      <c r="GL59" s="23">
        <v>20.564413260000002</v>
      </c>
      <c r="GM59" s="23">
        <v>62.191077522</v>
      </c>
      <c r="GN59" s="23">
        <v>199.999536216</v>
      </c>
      <c r="GO59" s="23">
        <v>164.80245047400001</v>
      </c>
      <c r="GP59" s="23">
        <v>180.50613366200002</v>
      </c>
      <c r="GQ59" s="23">
        <v>73.569474467000006</v>
      </c>
      <c r="GR59" s="23">
        <v>153.77578938799999</v>
      </c>
      <c r="GS59" s="23">
        <v>92.026724027000014</v>
      </c>
      <c r="GT59" s="23">
        <v>146.13581821700001</v>
      </c>
      <c r="GU59" s="23">
        <v>102.96098314400001</v>
      </c>
      <c r="GV59" s="23">
        <v>88.633277964999991</v>
      </c>
      <c r="GW59" s="23">
        <v>89.055006212000009</v>
      </c>
      <c r="GX59" s="23">
        <v>41.243180448000004</v>
      </c>
      <c r="GY59" s="23">
        <v>41.754725809999996</v>
      </c>
      <c r="GZ59" s="23">
        <v>235.92106307100002</v>
      </c>
      <c r="HA59" s="23">
        <v>69.079582385999998</v>
      </c>
      <c r="HB59" s="23">
        <v>37.462054514000002</v>
      </c>
      <c r="HC59" s="23">
        <v>48.365206979</v>
      </c>
      <c r="HD59" s="23">
        <v>377.46767568700005</v>
      </c>
      <c r="HE59" s="23">
        <v>82.687648748000001</v>
      </c>
      <c r="HF59" s="23"/>
      <c r="HG59" s="23"/>
      <c r="HH59" s="23"/>
      <c r="HI59" s="23"/>
    </row>
    <row r="60" spans="1:217" s="43" customFormat="1">
      <c r="A60" s="44" t="s">
        <v>80</v>
      </c>
      <c r="B60" s="45">
        <v>0.274083996</v>
      </c>
      <c r="C60" s="45">
        <v>1.2783590220000001</v>
      </c>
      <c r="D60" s="45">
        <v>10.106584218</v>
      </c>
      <c r="E60" s="45">
        <v>6.587424607</v>
      </c>
      <c r="F60" s="45">
        <v>3.2804050659999997</v>
      </c>
      <c r="G60" s="45">
        <v>4.5146033250000004</v>
      </c>
      <c r="H60" s="45">
        <v>6.0650230790000004</v>
      </c>
      <c r="I60" s="45">
        <v>2.7414600149999999</v>
      </c>
      <c r="J60" s="45">
        <v>3.8551494739999996</v>
      </c>
      <c r="K60" s="45">
        <v>7.405916566000001</v>
      </c>
      <c r="L60" s="45">
        <v>8.4247335519999993</v>
      </c>
      <c r="M60" s="45">
        <v>14.55654358</v>
      </c>
      <c r="N60" s="45">
        <v>0</v>
      </c>
      <c r="O60" s="45">
        <v>0.83168760199999991</v>
      </c>
      <c r="P60" s="45">
        <v>7.0895072619999997</v>
      </c>
      <c r="Q60" s="45">
        <v>10.997773762000001</v>
      </c>
      <c r="R60" s="45">
        <v>5.1737031840000007</v>
      </c>
      <c r="S60" s="45">
        <v>11.215641931</v>
      </c>
      <c r="T60" s="45">
        <v>6.0674325649999998</v>
      </c>
      <c r="U60" s="45">
        <v>10.086459014000001</v>
      </c>
      <c r="V60" s="45">
        <v>7.002365857</v>
      </c>
      <c r="W60" s="45">
        <v>10.764038352</v>
      </c>
      <c r="X60" s="45">
        <v>8.0050914370000008</v>
      </c>
      <c r="Y60" s="45">
        <v>8.4855645210000006</v>
      </c>
      <c r="Z60" s="45">
        <v>0.41795373200000008</v>
      </c>
      <c r="AA60" s="45">
        <v>8.4271518619999988</v>
      </c>
      <c r="AB60" s="45">
        <v>10.984365088999999</v>
      </c>
      <c r="AC60" s="45">
        <v>11.289789358</v>
      </c>
      <c r="AD60" s="45">
        <v>13.626617962999999</v>
      </c>
      <c r="AE60" s="45">
        <v>15.232103224999999</v>
      </c>
      <c r="AF60" s="45">
        <v>8.0440056809999998</v>
      </c>
      <c r="AG60" s="45">
        <v>8.8234195970000009</v>
      </c>
      <c r="AH60" s="45">
        <v>20.193858841999997</v>
      </c>
      <c r="AI60" s="45">
        <v>6.5591272309999997</v>
      </c>
      <c r="AJ60" s="45">
        <v>12.793353095000002</v>
      </c>
      <c r="AK60" s="45">
        <v>16.060877537000003</v>
      </c>
      <c r="AL60" s="45">
        <v>4.0294906250000002</v>
      </c>
      <c r="AM60" s="45">
        <v>9.7830652620000009</v>
      </c>
      <c r="AN60" s="45">
        <v>11.510811249</v>
      </c>
      <c r="AO60" s="45">
        <v>18.440088898000003</v>
      </c>
      <c r="AP60" s="45">
        <v>7.4847773749999993</v>
      </c>
      <c r="AQ60" s="45">
        <v>7.2476017060000002</v>
      </c>
      <c r="AR60" s="45">
        <v>9.4643533990000002</v>
      </c>
      <c r="AS60" s="45">
        <v>12.477845794999997</v>
      </c>
      <c r="AT60" s="45">
        <v>6.4472347440000002</v>
      </c>
      <c r="AU60" s="45">
        <v>20.702174528</v>
      </c>
      <c r="AV60" s="45">
        <v>13.244286320999999</v>
      </c>
      <c r="AW60" s="45">
        <v>38.329354610000003</v>
      </c>
      <c r="AX60" s="45">
        <v>1.0245624769999999</v>
      </c>
      <c r="AY60" s="45">
        <v>21.548377443000003</v>
      </c>
      <c r="AZ60" s="45">
        <v>15.601926688999999</v>
      </c>
      <c r="BA60" s="45">
        <v>19.012809025000003</v>
      </c>
      <c r="BB60" s="45">
        <v>12.473309082000002</v>
      </c>
      <c r="BC60" s="45">
        <v>16.424867421999998</v>
      </c>
      <c r="BD60" s="45">
        <v>7.681139205</v>
      </c>
      <c r="BE60" s="45">
        <v>16.482424188999996</v>
      </c>
      <c r="BF60" s="45">
        <v>19.288857245999999</v>
      </c>
      <c r="BG60" s="45">
        <v>16.741746735999996</v>
      </c>
      <c r="BH60" s="45">
        <v>14.521057923000003</v>
      </c>
      <c r="BI60" s="45">
        <v>47.126155876999995</v>
      </c>
      <c r="BJ60" s="45">
        <v>2.0044162340000002</v>
      </c>
      <c r="BK60" s="45">
        <v>16.949566858000001</v>
      </c>
      <c r="BL60" s="45">
        <v>33.057911173000001</v>
      </c>
      <c r="BM60" s="45">
        <v>33.054953217000005</v>
      </c>
      <c r="BN60" s="45">
        <v>14.776026394000001</v>
      </c>
      <c r="BO60" s="45">
        <v>10.593598066</v>
      </c>
      <c r="BP60" s="45">
        <v>25.784160548999999</v>
      </c>
      <c r="BQ60" s="45">
        <v>25.062000142000006</v>
      </c>
      <c r="BR60" s="45">
        <v>60.588528791999998</v>
      </c>
      <c r="BS60" s="45">
        <v>20.179527526000001</v>
      </c>
      <c r="BT60" s="45">
        <v>31.372865898000004</v>
      </c>
      <c r="BU60" s="45">
        <v>22.073715812000003</v>
      </c>
      <c r="BV60" s="45">
        <v>4.2579682129999998</v>
      </c>
      <c r="BW60" s="45">
        <v>25.393783237000001</v>
      </c>
      <c r="BX60" s="45">
        <v>30.378491783000001</v>
      </c>
      <c r="BY60" s="45">
        <v>21.152907877999997</v>
      </c>
      <c r="BZ60" s="45">
        <v>32.146520011</v>
      </c>
      <c r="CA60" s="45">
        <v>39.935686767000007</v>
      </c>
      <c r="CB60" s="45">
        <v>19.954976705</v>
      </c>
      <c r="CC60" s="45">
        <v>32.997046355999998</v>
      </c>
      <c r="CD60" s="45">
        <v>22.922986301000002</v>
      </c>
      <c r="CE60" s="45">
        <v>17.154239236999999</v>
      </c>
      <c r="CF60" s="45">
        <v>30.256085291999998</v>
      </c>
      <c r="CG60" s="45">
        <v>85.072146418999992</v>
      </c>
      <c r="CH60" s="45">
        <v>3.3279905899999997</v>
      </c>
      <c r="CI60" s="45">
        <v>9.9043996669999999</v>
      </c>
      <c r="CJ60" s="45">
        <v>24.958403494999999</v>
      </c>
      <c r="CK60" s="45">
        <v>17.860290653</v>
      </c>
      <c r="CL60" s="45">
        <v>12.543347907000001</v>
      </c>
      <c r="CM60" s="45">
        <v>28.48190752</v>
      </c>
      <c r="CN60" s="45">
        <v>31.354396941000001</v>
      </c>
      <c r="CO60" s="45">
        <v>22.302882314999998</v>
      </c>
      <c r="CP60" s="45">
        <v>24.408210644</v>
      </c>
      <c r="CQ60" s="45">
        <v>64.979555851000001</v>
      </c>
      <c r="CR60" s="45">
        <v>25.182894947000001</v>
      </c>
      <c r="CS60" s="45">
        <v>66.298914972000006</v>
      </c>
      <c r="CT60" s="45">
        <v>7.3487424880000001</v>
      </c>
      <c r="CU60" s="45">
        <v>8.1160620029999997</v>
      </c>
      <c r="CV60" s="45">
        <v>49.298099207000007</v>
      </c>
      <c r="CW60" s="45">
        <v>55.569807673</v>
      </c>
      <c r="CX60" s="45">
        <v>25.149620325000001</v>
      </c>
      <c r="CY60" s="45">
        <v>45.278681478999992</v>
      </c>
      <c r="CZ60" s="45">
        <v>33.620569880000005</v>
      </c>
      <c r="DA60" s="45">
        <v>85.390115918999996</v>
      </c>
      <c r="DB60" s="45">
        <v>13.946568276000001</v>
      </c>
      <c r="DC60" s="45">
        <v>53.756850801999995</v>
      </c>
      <c r="DD60" s="45">
        <v>90.632994015999998</v>
      </c>
      <c r="DE60" s="45">
        <v>94.073478461000022</v>
      </c>
      <c r="DF60" s="45">
        <v>12.165112175000001</v>
      </c>
      <c r="DG60" s="45">
        <v>14.8571756</v>
      </c>
      <c r="DH60" s="45">
        <v>50.734737890000005</v>
      </c>
      <c r="DI60" s="45">
        <v>78.744718237000001</v>
      </c>
      <c r="DJ60" s="45">
        <v>35.260373686000008</v>
      </c>
      <c r="DK60" s="45">
        <v>39.977478000999994</v>
      </c>
      <c r="DL60" s="45">
        <v>27.189333391000005</v>
      </c>
      <c r="DM60" s="45">
        <v>21.158251219999997</v>
      </c>
      <c r="DN60" s="45">
        <v>13.824748536000003</v>
      </c>
      <c r="DO60" s="45">
        <v>14.725955227999998</v>
      </c>
      <c r="DP60" s="45">
        <v>21.535594123999999</v>
      </c>
      <c r="DQ60" s="45">
        <v>48.4314502</v>
      </c>
      <c r="DR60" s="45">
        <v>26.354668372999999</v>
      </c>
      <c r="DS60" s="45">
        <v>59.856467601999995</v>
      </c>
      <c r="DT60" s="45">
        <v>7.6817172459999998</v>
      </c>
      <c r="DU60" s="45">
        <v>47.810326873999998</v>
      </c>
      <c r="DV60" s="45">
        <v>36.039802193999996</v>
      </c>
      <c r="DW60" s="45">
        <v>14.364942947999999</v>
      </c>
      <c r="DX60" s="45">
        <v>27.555243666000003</v>
      </c>
      <c r="DY60" s="45">
        <v>13.256080296999999</v>
      </c>
      <c r="DZ60" s="45">
        <v>10.055368440999999</v>
      </c>
      <c r="EA60" s="45">
        <v>17.565462978000003</v>
      </c>
      <c r="EB60" s="45">
        <v>42.714103191</v>
      </c>
      <c r="EC60" s="45">
        <v>55.737524430000001</v>
      </c>
      <c r="ED60" s="45">
        <v>3.353797524</v>
      </c>
      <c r="EE60" s="45">
        <v>7.9484114700000008</v>
      </c>
      <c r="EF60" s="45">
        <v>33.802165275</v>
      </c>
      <c r="EG60" s="45">
        <v>31.479581372000002</v>
      </c>
      <c r="EH60" s="45">
        <v>26.121370999999996</v>
      </c>
      <c r="EI60" s="45">
        <v>37.115367071000001</v>
      </c>
      <c r="EJ60" s="45">
        <v>46.005709037999999</v>
      </c>
      <c r="EK60" s="45">
        <v>26.190826592000001</v>
      </c>
      <c r="EL60" s="45">
        <v>54.126241855000004</v>
      </c>
      <c r="EM60" s="45">
        <v>60.371028251000006</v>
      </c>
      <c r="EN60" s="45">
        <v>45.53105939200001</v>
      </c>
      <c r="EO60" s="45">
        <v>83.566788887000001</v>
      </c>
      <c r="EP60" s="45">
        <v>12.694041104</v>
      </c>
      <c r="EQ60" s="45">
        <v>14.845251952000002</v>
      </c>
      <c r="ER60" s="45">
        <v>32.761110065000004</v>
      </c>
      <c r="ES60" s="45">
        <v>52.39681099900001</v>
      </c>
      <c r="ET60" s="45">
        <v>35.341107767999993</v>
      </c>
      <c r="EU60" s="45">
        <v>57.229453289999995</v>
      </c>
      <c r="EV60" s="45">
        <v>35.778914272000002</v>
      </c>
      <c r="EW60" s="45">
        <v>33.571822730999997</v>
      </c>
      <c r="EX60" s="45">
        <v>37.516345066999996</v>
      </c>
      <c r="EY60" s="45">
        <v>40.673563238999996</v>
      </c>
      <c r="EZ60" s="45">
        <v>35.303125039000001</v>
      </c>
      <c r="FA60" s="45">
        <v>56.703475269000002</v>
      </c>
      <c r="FB60" s="46">
        <v>18.939587856000003</v>
      </c>
      <c r="FC60" s="46">
        <v>11.770366665999999</v>
      </c>
      <c r="FD60" s="46">
        <v>35.418513034999997</v>
      </c>
      <c r="FE60" s="46">
        <v>24.922062855999997</v>
      </c>
      <c r="FF60" s="46">
        <v>63.553013704000001</v>
      </c>
      <c r="FG60" s="46">
        <v>21.376477486000002</v>
      </c>
      <c r="FH60" s="46">
        <v>32.927994628</v>
      </c>
      <c r="FI60" s="46">
        <v>47.440944452999993</v>
      </c>
      <c r="FJ60" s="46">
        <v>54.130132931999995</v>
      </c>
      <c r="FK60" s="46">
        <v>21.824295399</v>
      </c>
      <c r="FL60" s="46">
        <v>42.123374808999998</v>
      </c>
      <c r="FM60" s="46">
        <v>80.183956570999996</v>
      </c>
      <c r="FN60" s="46">
        <v>12.571214392999998</v>
      </c>
      <c r="FO60" s="46">
        <v>32.737152359</v>
      </c>
      <c r="FP60" s="46">
        <v>21.194530009999998</v>
      </c>
      <c r="FQ60" s="46">
        <v>28.126165534999998</v>
      </c>
      <c r="FR60" s="46">
        <v>34.113861761000003</v>
      </c>
      <c r="FS60" s="46">
        <v>41.006702022999988</v>
      </c>
      <c r="FT60" s="46">
        <v>24.824607158999999</v>
      </c>
      <c r="FU60" s="46">
        <v>55.352908608999996</v>
      </c>
      <c r="FV60" s="46">
        <v>29.892920028999995</v>
      </c>
      <c r="FW60" s="46">
        <v>62.766690386999997</v>
      </c>
      <c r="FX60" s="46">
        <v>47.661045195</v>
      </c>
      <c r="FY60" s="46">
        <v>40.193248890000007</v>
      </c>
      <c r="FZ60" s="46">
        <v>14.554655508000002</v>
      </c>
      <c r="GA60" s="46">
        <v>16.131401916999998</v>
      </c>
      <c r="GB60" s="41">
        <v>24.000443910999998</v>
      </c>
      <c r="GC60" s="41">
        <v>51.210273497999999</v>
      </c>
      <c r="GD60" s="41">
        <v>25.739928361</v>
      </c>
      <c r="GE60" s="41">
        <v>49.262682793999993</v>
      </c>
      <c r="GF60" s="41">
        <v>35.447523242000003</v>
      </c>
      <c r="GG60" s="41">
        <v>16.425287856000001</v>
      </c>
      <c r="GH60" s="41">
        <v>35.227023582000001</v>
      </c>
      <c r="GI60" s="41">
        <v>74.870816361999999</v>
      </c>
      <c r="GJ60" s="41">
        <v>39.890951484000006</v>
      </c>
      <c r="GK60" s="41">
        <v>78.848774456000001</v>
      </c>
      <c r="GL60" s="42">
        <v>17.189973180000003</v>
      </c>
      <c r="GM60" s="42">
        <v>19.051363505999998</v>
      </c>
      <c r="GN60" s="42">
        <v>51.620016045999996</v>
      </c>
      <c r="GO60" s="42">
        <v>33.041823857000004</v>
      </c>
      <c r="GP60" s="42">
        <v>29.987448095000005</v>
      </c>
      <c r="GQ60" s="42">
        <v>45.289320512000003</v>
      </c>
      <c r="GR60" s="42">
        <v>30.670920472999995</v>
      </c>
      <c r="GS60" s="42">
        <v>39.102626634000011</v>
      </c>
      <c r="GT60" s="42">
        <v>56.905641590999991</v>
      </c>
      <c r="GU60" s="42">
        <v>38.755962492000002</v>
      </c>
      <c r="GV60" s="42">
        <v>29.334246557</v>
      </c>
      <c r="GW60" s="42">
        <v>36.789067467000002</v>
      </c>
      <c r="GX60" s="42">
        <v>18.764249133</v>
      </c>
      <c r="GY60" s="42">
        <v>14.657161009999999</v>
      </c>
      <c r="GZ60" s="42">
        <v>189.01965766400002</v>
      </c>
      <c r="HA60" s="42">
        <v>19.305537243000003</v>
      </c>
      <c r="HB60" s="42">
        <v>10.407426337</v>
      </c>
      <c r="HC60" s="42">
        <v>18.845349406</v>
      </c>
      <c r="HD60" s="42">
        <v>24.548681719999998</v>
      </c>
      <c r="HE60" s="42">
        <v>52.812218790000003</v>
      </c>
      <c r="HF60" s="42"/>
      <c r="HG60" s="42"/>
      <c r="HH60" s="42"/>
      <c r="HI60" s="42"/>
    </row>
    <row r="61" spans="1:217" ht="26.25">
      <c r="A61" s="49" t="s">
        <v>81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5.3999999999999999E-2</v>
      </c>
      <c r="Q61" s="2">
        <v>2.4820000000000002E-2</v>
      </c>
      <c r="R61" s="2">
        <v>0.3</v>
      </c>
      <c r="S61" s="2">
        <v>2.1180000000000001E-2</v>
      </c>
      <c r="T61" s="2">
        <v>0</v>
      </c>
      <c r="U61" s="2">
        <v>0.12</v>
      </c>
      <c r="V61" s="2">
        <v>0</v>
      </c>
      <c r="W61" s="2">
        <v>0.15</v>
      </c>
      <c r="X61" s="2">
        <v>0.2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1.5</v>
      </c>
      <c r="AN61" s="2">
        <v>1.0999000000000001</v>
      </c>
      <c r="AO61" s="2">
        <v>1.2</v>
      </c>
      <c r="AP61" s="2">
        <v>-0.15</v>
      </c>
      <c r="AQ61" s="2">
        <v>1.09827125</v>
      </c>
      <c r="AR61" s="2">
        <v>1.1033457499999999</v>
      </c>
      <c r="AS61" s="2">
        <v>0.6</v>
      </c>
      <c r="AT61" s="2">
        <v>0.8966542500000001</v>
      </c>
      <c r="AU61" s="2">
        <v>0.93899999999999995</v>
      </c>
      <c r="AV61" s="2">
        <v>2.3123287500000003</v>
      </c>
      <c r="AW61" s="2">
        <v>3.2490000000000001</v>
      </c>
      <c r="AX61" s="2">
        <v>0.25030000000000002</v>
      </c>
      <c r="AY61" s="2">
        <v>1.2797000000000001</v>
      </c>
      <c r="AZ61" s="2">
        <v>2.2599999999999998</v>
      </c>
      <c r="BA61" s="2">
        <v>1.1802999999999999</v>
      </c>
      <c r="BB61" s="2">
        <v>1.3699000000000001</v>
      </c>
      <c r="BC61" s="2">
        <v>4.6097000000000001</v>
      </c>
      <c r="BD61" s="2">
        <v>1.1499999999999999</v>
      </c>
      <c r="BE61" s="2">
        <v>0</v>
      </c>
      <c r="BF61" s="2">
        <v>9.9306000000000001</v>
      </c>
      <c r="BG61" s="2">
        <v>0.77439999999999998</v>
      </c>
      <c r="BH61" s="2">
        <v>2.7063999999999999</v>
      </c>
      <c r="BI61" s="2">
        <v>6.4904834400000002</v>
      </c>
      <c r="BJ61" s="2">
        <v>0.82623549100000004</v>
      </c>
      <c r="BK61" s="2">
        <v>1.3799000000000001</v>
      </c>
      <c r="BL61" s="2">
        <v>1.482</v>
      </c>
      <c r="BM61" s="2">
        <v>1.274</v>
      </c>
      <c r="BN61" s="2">
        <v>1.3579000000000001</v>
      </c>
      <c r="BO61" s="2">
        <v>1.4308600010000001</v>
      </c>
      <c r="BP61" s="2">
        <v>1.871058737</v>
      </c>
      <c r="BQ61" s="2">
        <v>1.369467773</v>
      </c>
      <c r="BR61" s="2">
        <v>7.4729765740000005</v>
      </c>
      <c r="BS61" s="2">
        <v>-3.4009740000000002E-3</v>
      </c>
      <c r="BT61" s="2">
        <v>3.7626805410000004</v>
      </c>
      <c r="BU61" s="2">
        <v>1.10053</v>
      </c>
      <c r="BV61" s="2">
        <v>1.47356</v>
      </c>
      <c r="BW61" s="2">
        <v>1.5601308100000002</v>
      </c>
      <c r="BX61" s="2">
        <v>11.58013081</v>
      </c>
      <c r="BY61" s="2">
        <v>0.58013081</v>
      </c>
      <c r="BZ61" s="2">
        <v>1.5785713760000002</v>
      </c>
      <c r="CA61" s="2">
        <v>20.58013081</v>
      </c>
      <c r="CB61" s="2">
        <v>0.37813080999999998</v>
      </c>
      <c r="CC61" s="2">
        <v>0.38013080999999999</v>
      </c>
      <c r="CD61" s="2">
        <v>0.38369024400000001</v>
      </c>
      <c r="CE61" s="2">
        <v>0.38000381</v>
      </c>
      <c r="CF61" s="2">
        <v>0.38013080999999999</v>
      </c>
      <c r="CG61" s="2">
        <v>19.493801920999999</v>
      </c>
      <c r="CH61" s="2">
        <v>0.5</v>
      </c>
      <c r="CI61" s="2">
        <v>0.56000000000000005</v>
      </c>
      <c r="CJ61" s="2">
        <v>2.5299999999999998</v>
      </c>
      <c r="CK61" s="2">
        <v>1.53</v>
      </c>
      <c r="CL61" s="2">
        <v>1.5297019629999999</v>
      </c>
      <c r="CM61" s="2">
        <v>1.5302980370000001</v>
      </c>
      <c r="CN61" s="2">
        <v>6.53</v>
      </c>
      <c r="CO61" s="2">
        <v>1.03</v>
      </c>
      <c r="CP61" s="2">
        <v>1.025860971</v>
      </c>
      <c r="CQ61" s="2">
        <v>6.0262909000000002</v>
      </c>
      <c r="CR61" s="2">
        <v>2.8418919599999999</v>
      </c>
      <c r="CS61" s="2">
        <v>9.073960456</v>
      </c>
      <c r="CT61" s="2">
        <v>5</v>
      </c>
      <c r="CU61" s="2">
        <v>1.5209999999999999</v>
      </c>
      <c r="CV61" s="2">
        <v>1.334046042</v>
      </c>
      <c r="CW61" s="2">
        <v>2.8257897360000004</v>
      </c>
      <c r="CX61" s="2">
        <v>1.9294918489999999</v>
      </c>
      <c r="CY61" s="2">
        <v>2.6115638170000004</v>
      </c>
      <c r="CZ61" s="2">
        <v>2.161</v>
      </c>
      <c r="DA61" s="2">
        <v>2.2144760030000001</v>
      </c>
      <c r="DB61" s="2">
        <v>2.0143202910000002</v>
      </c>
      <c r="DC61" s="2">
        <v>2.692801974</v>
      </c>
      <c r="DD61" s="2">
        <v>6.0467918379999999</v>
      </c>
      <c r="DE61" s="2">
        <v>2.6135999999999999</v>
      </c>
      <c r="DF61" s="2">
        <v>4.03</v>
      </c>
      <c r="DG61" s="2">
        <v>2.5211260000000002</v>
      </c>
      <c r="DH61" s="2">
        <v>2.7847740000000001</v>
      </c>
      <c r="DI61" s="2">
        <v>2.6059000000000001</v>
      </c>
      <c r="DJ61" s="2">
        <v>9.8870471089999992</v>
      </c>
      <c r="DK61" s="2">
        <v>13.144491653999999</v>
      </c>
      <c r="DL61" s="2">
        <v>1.9753734119999999</v>
      </c>
      <c r="DM61" s="2">
        <v>2.1150000000000002</v>
      </c>
      <c r="DN61" s="2">
        <v>1.8777300000000001</v>
      </c>
      <c r="DO61" s="2">
        <v>1.153557825</v>
      </c>
      <c r="DP61" s="2">
        <v>1.0394000000000001</v>
      </c>
      <c r="DQ61" s="2">
        <v>7.3301480439999995</v>
      </c>
      <c r="DR61" s="2">
        <v>3.5</v>
      </c>
      <c r="DS61" s="2">
        <v>5.431603795</v>
      </c>
      <c r="DT61" s="2">
        <v>2.999981901</v>
      </c>
      <c r="DU61" s="2">
        <v>6.1524999999999999</v>
      </c>
      <c r="DV61" s="2">
        <v>6.2024999999999997</v>
      </c>
      <c r="DW61" s="2">
        <v>2.6459546300000003</v>
      </c>
      <c r="DX61" s="2">
        <v>2.60904537</v>
      </c>
      <c r="DY61" s="2">
        <v>0.46522951499999998</v>
      </c>
      <c r="DZ61" s="2">
        <v>5.2697704850000004</v>
      </c>
      <c r="EA61" s="2">
        <v>4.0599999999999996</v>
      </c>
      <c r="EB61" s="2">
        <v>2.33</v>
      </c>
      <c r="EC61" s="2">
        <v>2.1</v>
      </c>
      <c r="ED61" s="2">
        <v>0</v>
      </c>
      <c r="EE61" s="2">
        <v>3.9</v>
      </c>
      <c r="EF61" s="2">
        <v>3</v>
      </c>
      <c r="EG61" s="2">
        <v>2.5</v>
      </c>
      <c r="EH61" s="2">
        <v>6</v>
      </c>
      <c r="EI61" s="2">
        <v>13</v>
      </c>
      <c r="EJ61" s="2">
        <v>8</v>
      </c>
      <c r="EK61" s="2">
        <v>2.0499999999999998</v>
      </c>
      <c r="EL61" s="2">
        <v>4.4000000000000004</v>
      </c>
      <c r="EM61" s="2">
        <v>10.49</v>
      </c>
      <c r="EN61" s="2">
        <v>5.0169948350000002</v>
      </c>
      <c r="EO61" s="2">
        <v>10</v>
      </c>
      <c r="EP61" s="2">
        <v>3</v>
      </c>
      <c r="EQ61" s="2">
        <v>0</v>
      </c>
      <c r="ER61" s="2">
        <v>1.7</v>
      </c>
      <c r="ES61" s="2">
        <v>3</v>
      </c>
      <c r="ET61" s="2">
        <v>2.9999980000000002</v>
      </c>
      <c r="EU61" s="2">
        <v>7.2</v>
      </c>
      <c r="EV61" s="2">
        <v>8.9993629999999989</v>
      </c>
      <c r="EW61" s="2">
        <v>5</v>
      </c>
      <c r="EX61" s="2">
        <v>4.2</v>
      </c>
      <c r="EY61" s="2">
        <v>2.5</v>
      </c>
      <c r="EZ61" s="2">
        <v>3.5</v>
      </c>
      <c r="FA61" s="2">
        <v>7.3</v>
      </c>
      <c r="FB61" s="2">
        <v>0</v>
      </c>
      <c r="FC61" s="2">
        <v>3</v>
      </c>
      <c r="FD61" s="2">
        <v>10.95</v>
      </c>
      <c r="FE61" s="2">
        <v>6</v>
      </c>
      <c r="FF61" s="2">
        <v>2.2999999999999998</v>
      </c>
      <c r="FG61" s="2">
        <v>7.6945162739999997</v>
      </c>
      <c r="FH61" s="2">
        <v>2.2999999999999998</v>
      </c>
      <c r="FI61" s="2">
        <v>3.7999000000000001</v>
      </c>
      <c r="FJ61" s="2">
        <v>3.9377905000000002</v>
      </c>
      <c r="FK61" s="2">
        <v>3.5</v>
      </c>
      <c r="FL61" s="2">
        <v>9.5059868760000015</v>
      </c>
      <c r="FM61" s="2">
        <v>9.94</v>
      </c>
      <c r="FN61" s="2">
        <v>1.9</v>
      </c>
      <c r="FO61" s="2">
        <v>2</v>
      </c>
      <c r="FP61" s="2">
        <v>0.5</v>
      </c>
      <c r="FQ61" s="2">
        <v>5.2724500000000001</v>
      </c>
      <c r="FR61" s="2">
        <v>2.4943944839999999</v>
      </c>
      <c r="FS61" s="2">
        <v>6</v>
      </c>
      <c r="FT61" s="2">
        <v>7.1</v>
      </c>
      <c r="FU61" s="2">
        <v>2</v>
      </c>
      <c r="FV61" s="2">
        <v>2</v>
      </c>
      <c r="FW61" s="2">
        <v>8</v>
      </c>
      <c r="FX61" s="2">
        <v>12</v>
      </c>
      <c r="FY61" s="2">
        <v>10</v>
      </c>
      <c r="FZ61" s="2">
        <v>4.5</v>
      </c>
      <c r="GA61" s="2">
        <v>6</v>
      </c>
      <c r="GB61" s="22">
        <v>6.45</v>
      </c>
      <c r="GC61" s="22">
        <v>6.3237439999999996</v>
      </c>
      <c r="GD61" s="22">
        <v>4.7262560000000002</v>
      </c>
      <c r="GE61" s="22">
        <v>3.5</v>
      </c>
      <c r="GF61" s="22">
        <v>3.5</v>
      </c>
      <c r="GG61" s="22">
        <v>4</v>
      </c>
      <c r="GH61" s="22">
        <v>5</v>
      </c>
      <c r="GI61" s="22">
        <v>5.01</v>
      </c>
      <c r="GJ61" s="22">
        <v>5.0999999999999996</v>
      </c>
      <c r="GK61" s="22">
        <v>2.66915865</v>
      </c>
      <c r="GL61" s="23">
        <v>7.65</v>
      </c>
      <c r="GM61" s="23">
        <v>5.35</v>
      </c>
      <c r="GN61" s="23">
        <v>3</v>
      </c>
      <c r="GO61" s="23">
        <v>7</v>
      </c>
      <c r="GP61" s="23">
        <v>6</v>
      </c>
      <c r="GQ61" s="23">
        <v>11.5</v>
      </c>
      <c r="GR61" s="23">
        <v>9.3812326240000008</v>
      </c>
      <c r="GS61" s="23">
        <v>6</v>
      </c>
      <c r="GT61" s="23">
        <v>15</v>
      </c>
      <c r="GU61" s="23">
        <v>10.855154086000001</v>
      </c>
      <c r="GV61" s="23">
        <v>0</v>
      </c>
      <c r="GW61" s="23">
        <v>6.3517423040000001</v>
      </c>
      <c r="GX61" s="23">
        <v>5</v>
      </c>
      <c r="GY61" s="23">
        <v>2.4363447000000003</v>
      </c>
      <c r="GZ61" s="23">
        <v>167</v>
      </c>
      <c r="HA61" s="23">
        <v>6.2526553000000007</v>
      </c>
      <c r="HB61" s="23">
        <v>3</v>
      </c>
      <c r="HC61" s="23">
        <v>3.3450000000000002</v>
      </c>
      <c r="HD61" s="23">
        <v>3.0049999999999999</v>
      </c>
      <c r="HE61" s="23">
        <v>22.293528770000002</v>
      </c>
      <c r="HF61" s="23"/>
      <c r="HG61" s="23"/>
      <c r="HH61" s="23"/>
      <c r="HI61" s="23"/>
    </row>
    <row r="62" spans="1:217">
      <c r="A62" s="49" t="s">
        <v>82</v>
      </c>
      <c r="B62" s="50">
        <v>0.04</v>
      </c>
      <c r="C62" s="50">
        <v>0.65860000000000007</v>
      </c>
      <c r="D62" s="50">
        <v>9.0867240339999995</v>
      </c>
      <c r="E62" s="50">
        <v>6.092845853</v>
      </c>
      <c r="F62" s="50">
        <v>2.4850408260000001</v>
      </c>
      <c r="G62" s="50">
        <v>2.7955552519999998</v>
      </c>
      <c r="H62" s="50">
        <v>3.9134081000000003</v>
      </c>
      <c r="I62" s="50">
        <v>2.1468789589999999</v>
      </c>
      <c r="J62" s="50">
        <v>1.9171659809999997</v>
      </c>
      <c r="K62" s="50">
        <v>5.7413667510000002</v>
      </c>
      <c r="L62" s="50">
        <v>5.0016954049999995</v>
      </c>
      <c r="M62" s="50">
        <v>4.0370980000000003</v>
      </c>
      <c r="N62" s="50">
        <v>0</v>
      </c>
      <c r="O62" s="50">
        <v>0.51663199999999998</v>
      </c>
      <c r="P62" s="50">
        <v>6.5649002989999996</v>
      </c>
      <c r="Q62" s="50">
        <v>8.0788657980000007</v>
      </c>
      <c r="R62" s="50">
        <v>4.305287271000001</v>
      </c>
      <c r="S62" s="50">
        <v>8.8491273139999986</v>
      </c>
      <c r="T62" s="50">
        <v>5.3938716290000004</v>
      </c>
      <c r="U62" s="50">
        <v>8.0824804760000006</v>
      </c>
      <c r="V62" s="50">
        <v>3.4792549319999999</v>
      </c>
      <c r="W62" s="50">
        <v>7.7397582309999997</v>
      </c>
      <c r="X62" s="50">
        <v>5.7719113340000003</v>
      </c>
      <c r="Y62" s="50">
        <v>7.7313748440000003</v>
      </c>
      <c r="Z62" s="50">
        <v>0</v>
      </c>
      <c r="AA62" s="50">
        <v>7.2564870069999996</v>
      </c>
      <c r="AB62" s="50">
        <v>9.731469529</v>
      </c>
      <c r="AC62" s="50">
        <v>10.315409766999998</v>
      </c>
      <c r="AD62" s="50">
        <v>9.932819112999999</v>
      </c>
      <c r="AE62" s="50">
        <v>13.337706448999999</v>
      </c>
      <c r="AF62" s="50">
        <v>5.9364693289999995</v>
      </c>
      <c r="AG62" s="50">
        <v>7.4418815489999997</v>
      </c>
      <c r="AH62" s="50">
        <v>18.011781258999999</v>
      </c>
      <c r="AI62" s="50">
        <v>5.6886496319999997</v>
      </c>
      <c r="AJ62" s="50">
        <v>10.229825945</v>
      </c>
      <c r="AK62" s="50">
        <v>15.576955921000001</v>
      </c>
      <c r="AL62" s="50">
        <v>2.6604749999999999</v>
      </c>
      <c r="AM62" s="50">
        <v>7.3679908259999989</v>
      </c>
      <c r="AN62" s="50">
        <v>9.1123216720000002</v>
      </c>
      <c r="AO62" s="50">
        <v>16.271170964</v>
      </c>
      <c r="AP62" s="50">
        <v>4.9322944629999999</v>
      </c>
      <c r="AQ62" s="50">
        <v>3.7885939419999999</v>
      </c>
      <c r="AR62" s="50">
        <v>6.9672051329999993</v>
      </c>
      <c r="AS62" s="50">
        <v>9.9598499629999981</v>
      </c>
      <c r="AT62" s="50">
        <v>3.9714855639999995</v>
      </c>
      <c r="AU62" s="50">
        <v>19.106633455000001</v>
      </c>
      <c r="AV62" s="50">
        <v>9.6645286659999989</v>
      </c>
      <c r="AW62" s="50">
        <v>30.503917369</v>
      </c>
      <c r="AX62" s="50">
        <v>5.379068E-2</v>
      </c>
      <c r="AY62" s="50">
        <v>19.535828679000002</v>
      </c>
      <c r="AZ62" s="50">
        <v>12.097554139</v>
      </c>
      <c r="BA62" s="50">
        <v>16.407467433000001</v>
      </c>
      <c r="BB62" s="50">
        <v>9.5171168690000005</v>
      </c>
      <c r="BC62" s="50">
        <v>10.452560467000001</v>
      </c>
      <c r="BD62" s="50">
        <v>5.1248137360000001</v>
      </c>
      <c r="BE62" s="50">
        <v>15.240296265</v>
      </c>
      <c r="BF62" s="50">
        <v>8.0003976679999997</v>
      </c>
      <c r="BG62" s="50">
        <v>14.640669574</v>
      </c>
      <c r="BH62" s="50">
        <v>9.8811660359999998</v>
      </c>
      <c r="BI62" s="50">
        <v>35.988485479999994</v>
      </c>
      <c r="BJ62" s="50">
        <v>0.47855000000000003</v>
      </c>
      <c r="BK62" s="50">
        <v>14.550072129</v>
      </c>
      <c r="BL62" s="50">
        <v>30.137137810999999</v>
      </c>
      <c r="BM62" s="50">
        <v>30.463724964000001</v>
      </c>
      <c r="BN62" s="50">
        <v>11.800333866000001</v>
      </c>
      <c r="BO62" s="50">
        <v>8.1803089110000009</v>
      </c>
      <c r="BP62" s="50">
        <v>18.92638474</v>
      </c>
      <c r="BQ62" s="50">
        <v>17.258305229000001</v>
      </c>
      <c r="BR62" s="50">
        <v>52.082314644999997</v>
      </c>
      <c r="BS62" s="50">
        <v>18.877256165000002</v>
      </c>
      <c r="BT62" s="50">
        <v>22.961824029999999</v>
      </c>
      <c r="BU62" s="50">
        <v>18.285049473000004</v>
      </c>
      <c r="BV62" s="50">
        <v>1.1538621360000001</v>
      </c>
      <c r="BW62" s="50">
        <v>19.76450616</v>
      </c>
      <c r="BX62" s="50">
        <v>17.678713199000001</v>
      </c>
      <c r="BY62" s="50">
        <v>18.664438885000003</v>
      </c>
      <c r="BZ62" s="50">
        <v>28.117657153</v>
      </c>
      <c r="CA62" s="50">
        <v>17.980117488000001</v>
      </c>
      <c r="CB62" s="50">
        <v>18.465697926000001</v>
      </c>
      <c r="CC62" s="50">
        <v>24.138621878000002</v>
      </c>
      <c r="CD62" s="50">
        <v>15.537938354000001</v>
      </c>
      <c r="CE62" s="50">
        <v>14.326815203000001</v>
      </c>
      <c r="CF62" s="50">
        <v>25.758360757999998</v>
      </c>
      <c r="CG62" s="50">
        <v>55.070568731000002</v>
      </c>
      <c r="CH62" s="50">
        <v>1.7473031489999999</v>
      </c>
      <c r="CI62" s="50">
        <v>8.1107925420000004</v>
      </c>
      <c r="CJ62" s="50">
        <v>20.913943629999999</v>
      </c>
      <c r="CK62" s="50">
        <v>15.061419734999999</v>
      </c>
      <c r="CL62" s="50">
        <v>9.4187299910000029</v>
      </c>
      <c r="CM62" s="50">
        <v>17.721516029000004</v>
      </c>
      <c r="CN62" s="50">
        <v>14.852955029</v>
      </c>
      <c r="CO62" s="50">
        <v>19.673626577</v>
      </c>
      <c r="CP62" s="50">
        <v>21.423990847000002</v>
      </c>
      <c r="CQ62" s="50">
        <v>34.672972811999998</v>
      </c>
      <c r="CR62" s="50">
        <v>20.243665038</v>
      </c>
      <c r="CS62" s="50">
        <v>51.78556477499999</v>
      </c>
      <c r="CT62" s="50">
        <v>1.18452</v>
      </c>
      <c r="CU62" s="50">
        <v>5.1396257059999995</v>
      </c>
      <c r="CV62" s="50">
        <v>40.825041649999996</v>
      </c>
      <c r="CW62" s="50">
        <v>42.040863802000004</v>
      </c>
      <c r="CX62" s="50">
        <v>21.201431033999999</v>
      </c>
      <c r="CY62" s="50">
        <v>39.597957138999988</v>
      </c>
      <c r="CZ62" s="50">
        <v>29.252152177999999</v>
      </c>
      <c r="DA62" s="50">
        <v>38.638647460999991</v>
      </c>
      <c r="DB62" s="50">
        <v>10.066445777</v>
      </c>
      <c r="DC62" s="50">
        <v>47.313761644999992</v>
      </c>
      <c r="DD62" s="50">
        <v>82.353611947999994</v>
      </c>
      <c r="DE62" s="50">
        <v>76.616004153999995</v>
      </c>
      <c r="DF62" s="50">
        <v>5.4874977080000003</v>
      </c>
      <c r="DG62" s="50">
        <v>8.3368114939999991</v>
      </c>
      <c r="DH62" s="50">
        <v>41.350119352</v>
      </c>
      <c r="DI62" s="50">
        <v>72.318692290000001</v>
      </c>
      <c r="DJ62" s="50">
        <v>10.13473639</v>
      </c>
      <c r="DK62" s="50">
        <v>24.338406734999996</v>
      </c>
      <c r="DL62" s="50">
        <v>20.954434054</v>
      </c>
      <c r="DM62" s="50">
        <v>15.762741074000001</v>
      </c>
      <c r="DN62" s="50">
        <v>8.2599471869999999</v>
      </c>
      <c r="DO62" s="50">
        <v>9.481969264</v>
      </c>
      <c r="DP62" s="50">
        <v>15.963791036</v>
      </c>
      <c r="DQ62" s="50">
        <v>29.836577028000004</v>
      </c>
      <c r="DR62" s="50">
        <v>18.488141500000001</v>
      </c>
      <c r="DS62" s="50">
        <v>49.345305205999999</v>
      </c>
      <c r="DT62" s="50">
        <v>2.4448237829999999</v>
      </c>
      <c r="DU62" s="50">
        <v>37.799193627999998</v>
      </c>
      <c r="DV62" s="50">
        <v>15.255052798000001</v>
      </c>
      <c r="DW62" s="50">
        <v>9.0465823729999997</v>
      </c>
      <c r="DX62" s="50">
        <v>16.494122752999999</v>
      </c>
      <c r="DY62" s="50">
        <v>10.646724597</v>
      </c>
      <c r="DZ62" s="50">
        <v>1.3866666989999998</v>
      </c>
      <c r="EA62" s="50">
        <v>10.800261959000002</v>
      </c>
      <c r="EB62" s="50">
        <v>35.344027763</v>
      </c>
      <c r="EC62" s="50">
        <v>44.966346432999998</v>
      </c>
      <c r="ED62" s="50">
        <v>2.3970172179999998</v>
      </c>
      <c r="EE62" s="50">
        <v>1.9279044999999999</v>
      </c>
      <c r="EF62" s="50">
        <v>23.234874355999999</v>
      </c>
      <c r="EG62" s="50">
        <v>25.80374625</v>
      </c>
      <c r="EH62" s="50">
        <v>17.089774758000001</v>
      </c>
      <c r="EI62" s="50">
        <v>21.631914539</v>
      </c>
      <c r="EJ62" s="50">
        <v>35.149963075000002</v>
      </c>
      <c r="EK62" s="50">
        <v>22.003756795000001</v>
      </c>
      <c r="EL62" s="50">
        <v>39.166955502</v>
      </c>
      <c r="EM62" s="50">
        <v>30.825993715999999</v>
      </c>
      <c r="EN62" s="50">
        <v>34.003015402999999</v>
      </c>
      <c r="EO62" s="50">
        <v>45.729516597</v>
      </c>
      <c r="EP62" s="50">
        <v>6.4690250000000002</v>
      </c>
      <c r="EQ62" s="50">
        <v>12.081378084000001</v>
      </c>
      <c r="ER62" s="50">
        <v>21.123442638</v>
      </c>
      <c r="ES62" s="50">
        <v>41.497350757000007</v>
      </c>
      <c r="ET62" s="50">
        <v>28.247323318999999</v>
      </c>
      <c r="EU62" s="50">
        <v>34.359427492000002</v>
      </c>
      <c r="EV62" s="50">
        <v>21.437288565999999</v>
      </c>
      <c r="EW62" s="50">
        <v>15.130288029999999</v>
      </c>
      <c r="EX62" s="50">
        <v>23.560001724999999</v>
      </c>
      <c r="EY62" s="50">
        <v>29.591921105999997</v>
      </c>
      <c r="EZ62" s="50">
        <v>23.394781776000002</v>
      </c>
      <c r="FA62" s="50">
        <v>36.560994604999998</v>
      </c>
      <c r="FB62" s="50">
        <v>16.655268928000002</v>
      </c>
      <c r="FC62" s="50">
        <v>2.4368670450000001</v>
      </c>
      <c r="FD62" s="50">
        <v>18.488230005999998</v>
      </c>
      <c r="FE62" s="50">
        <v>13.037690550000001</v>
      </c>
      <c r="FF62" s="50">
        <v>47.188865430999996</v>
      </c>
      <c r="FG62" s="50">
        <v>9.2536929039999993</v>
      </c>
      <c r="FH62" s="50">
        <v>21.850031436999998</v>
      </c>
      <c r="FI62" s="50">
        <v>14.752779321</v>
      </c>
      <c r="FJ62" s="50">
        <v>31.485829331000001</v>
      </c>
      <c r="FK62" s="50">
        <v>14.348013450999998</v>
      </c>
      <c r="FL62" s="50">
        <v>28.470400499</v>
      </c>
      <c r="FM62" s="50">
        <v>35.355744372999993</v>
      </c>
      <c r="FN62" s="50">
        <v>6.5998164789999993</v>
      </c>
      <c r="FO62" s="50">
        <v>16.942889430000001</v>
      </c>
      <c r="FP62" s="50">
        <v>13.943183274999999</v>
      </c>
      <c r="FQ62" s="50">
        <v>13.282775158000002</v>
      </c>
      <c r="FR62" s="50">
        <v>21.843608294999999</v>
      </c>
      <c r="FS62" s="50">
        <v>25.083794200999996</v>
      </c>
      <c r="FT62" s="50">
        <v>8.7037464589999995</v>
      </c>
      <c r="FU62" s="50">
        <v>42.646167616</v>
      </c>
      <c r="FV62" s="50">
        <v>16.357518171999999</v>
      </c>
      <c r="FW62" s="50">
        <v>35.069937738</v>
      </c>
      <c r="FX62" s="50">
        <v>18.813190897999998</v>
      </c>
      <c r="FY62" s="50">
        <v>19.024566919000002</v>
      </c>
      <c r="FZ62" s="50">
        <v>7.2017820040000009</v>
      </c>
      <c r="GA62" s="50">
        <v>4.3032217890000002</v>
      </c>
      <c r="GB62" s="22">
        <v>10.057133520999999</v>
      </c>
      <c r="GC62" s="22">
        <v>35.828058208000002</v>
      </c>
      <c r="GD62" s="22">
        <v>10.640410998</v>
      </c>
      <c r="GE62" s="22">
        <v>29.529314723999999</v>
      </c>
      <c r="GF62" s="22">
        <v>19.809176760999996</v>
      </c>
      <c r="GG62" s="22">
        <v>8.8340660789999994</v>
      </c>
      <c r="GH62" s="22">
        <v>25.662442374999998</v>
      </c>
      <c r="GI62" s="22">
        <v>17.216873187000001</v>
      </c>
      <c r="GJ62" s="22">
        <v>24.714400652000005</v>
      </c>
      <c r="GK62" s="22">
        <v>46.361812948999997</v>
      </c>
      <c r="GL62" s="23">
        <v>6.7157927550000007</v>
      </c>
      <c r="GM62" s="23">
        <v>8.1148344669999997</v>
      </c>
      <c r="GN62" s="23">
        <v>30.976821949999998</v>
      </c>
      <c r="GO62" s="23">
        <v>16.094003035999997</v>
      </c>
      <c r="GP62" s="23">
        <v>15.121874932999999</v>
      </c>
      <c r="GQ62" s="23">
        <v>26.081387822</v>
      </c>
      <c r="GR62" s="23">
        <v>11.692616288000002</v>
      </c>
      <c r="GS62" s="23">
        <v>22.300131461999996</v>
      </c>
      <c r="GT62" s="23">
        <v>33.616684319999997</v>
      </c>
      <c r="GU62" s="23">
        <v>18.951029970000004</v>
      </c>
      <c r="GV62" s="23">
        <v>16.053021554000001</v>
      </c>
      <c r="GW62" s="23">
        <v>18.667292487000005</v>
      </c>
      <c r="GX62" s="23">
        <v>9.3737218999999996</v>
      </c>
      <c r="GY62" s="23">
        <v>6.0894722739999994</v>
      </c>
      <c r="GZ62" s="23">
        <v>9.487838009999999</v>
      </c>
      <c r="HA62" s="23">
        <v>7.3426401859999988</v>
      </c>
      <c r="HB62" s="23">
        <v>3.1594064259999999</v>
      </c>
      <c r="HC62" s="23">
        <v>9.1438699280000009</v>
      </c>
      <c r="HD62" s="23">
        <v>8.631641063</v>
      </c>
      <c r="HE62" s="23">
        <v>13.333719148</v>
      </c>
      <c r="HF62" s="23"/>
      <c r="HG62" s="23"/>
      <c r="HH62" s="23"/>
      <c r="HI62" s="23"/>
    </row>
    <row r="63" spans="1:217" ht="26.25">
      <c r="A63" s="49" t="s">
        <v>83</v>
      </c>
      <c r="B63" s="2">
        <v>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2"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4.2611198000000003E-2</v>
      </c>
      <c r="CY63" s="2">
        <v>0</v>
      </c>
      <c r="CZ63" s="2">
        <v>4.0827800000000004E-2</v>
      </c>
      <c r="DA63" s="2">
        <v>0</v>
      </c>
      <c r="DB63" s="2">
        <v>4.0327925000000001E-2</v>
      </c>
      <c r="DC63" s="2">
        <v>-2.0125000000000001E-4</v>
      </c>
      <c r="DD63" s="2">
        <v>0</v>
      </c>
      <c r="DE63" s="2">
        <v>4.5806800000000002E-2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9.0018150000000005E-2</v>
      </c>
      <c r="DM63" s="2">
        <v>0</v>
      </c>
      <c r="DN63" s="2">
        <v>4.5181499999999999E-2</v>
      </c>
      <c r="DO63" s="2">
        <v>0</v>
      </c>
      <c r="DP63" s="2">
        <v>0</v>
      </c>
      <c r="DQ63" s="2">
        <v>1.9100594679999998</v>
      </c>
      <c r="DR63" s="2">
        <v>0</v>
      </c>
      <c r="DS63" s="2">
        <v>2.0175856000000003</v>
      </c>
      <c r="DT63" s="2">
        <v>0.433180379</v>
      </c>
      <c r="DU63" s="2">
        <v>0.291745737</v>
      </c>
      <c r="DV63" s="2">
        <v>2.502208</v>
      </c>
      <c r="DW63" s="2">
        <v>-1.4193045E-2</v>
      </c>
      <c r="DX63" s="2">
        <v>3.2097212860000002</v>
      </c>
      <c r="DY63" s="2">
        <v>-4.9260736999999999E-2</v>
      </c>
      <c r="DZ63" s="2">
        <v>1.5748252</v>
      </c>
      <c r="EA63" s="2">
        <v>-7.0950360000000007E-3</v>
      </c>
      <c r="EB63" s="2">
        <v>9.8403199999999996E-2</v>
      </c>
      <c r="EC63" s="2">
        <v>0.1591697</v>
      </c>
      <c r="ED63" s="2">
        <v>0</v>
      </c>
      <c r="EE63" s="2">
        <v>6.099185E-2</v>
      </c>
      <c r="EF63" s="2">
        <v>0.88566880000000003</v>
      </c>
      <c r="EG63" s="2">
        <v>4.8161499999999996E-2</v>
      </c>
      <c r="EH63" s="2">
        <v>0.12834107</v>
      </c>
      <c r="EI63" s="2">
        <v>4.3741509999999997E-2</v>
      </c>
      <c r="EJ63" s="2">
        <v>0.26029224400000001</v>
      </c>
      <c r="EK63" s="2">
        <v>2.1812988000000002E-2</v>
      </c>
      <c r="EL63" s="2">
        <v>5.1928616720000003</v>
      </c>
      <c r="EM63" s="2">
        <v>9.0483000000000008E-2</v>
      </c>
      <c r="EN63" s="2">
        <v>2.0775466700000003</v>
      </c>
      <c r="EO63" s="2">
        <v>0.73472838299999998</v>
      </c>
      <c r="EP63" s="2">
        <v>8.0155950000000004E-2</v>
      </c>
      <c r="EQ63" s="2">
        <v>0.62416010000000011</v>
      </c>
      <c r="ER63" s="2">
        <v>9.8950650000000001E-2</v>
      </c>
      <c r="ES63" s="2">
        <v>0.59166595</v>
      </c>
      <c r="ET63" s="2">
        <v>1.9354224999999999E-2</v>
      </c>
      <c r="EU63" s="2">
        <v>9.7513542359999992</v>
      </c>
      <c r="EV63" s="2">
        <v>0.35130709999999998</v>
      </c>
      <c r="EW63" s="2">
        <v>8.0814087879999992</v>
      </c>
      <c r="EX63" s="2">
        <v>3.7512043159999999</v>
      </c>
      <c r="EY63" s="2">
        <v>4.5858502310000002</v>
      </c>
      <c r="EZ63" s="2">
        <v>5.0420540709999999</v>
      </c>
      <c r="FA63" s="2">
        <v>0.63818710999999995</v>
      </c>
      <c r="FB63" s="2">
        <v>0</v>
      </c>
      <c r="FC63" s="2">
        <v>8.2663600000000004E-2</v>
      </c>
      <c r="FD63" s="2">
        <v>0.40762400000000004</v>
      </c>
      <c r="FE63" s="2">
        <v>0.17862360000000002</v>
      </c>
      <c r="FF63" s="2">
        <v>6.4406212280000004</v>
      </c>
      <c r="FG63" s="2">
        <v>0.58358154699999998</v>
      </c>
      <c r="FH63" s="2">
        <v>4.3412556350000004</v>
      </c>
      <c r="FI63" s="2">
        <v>19.703351368</v>
      </c>
      <c r="FJ63" s="2">
        <v>14.470217998000001</v>
      </c>
      <c r="FK63" s="2">
        <v>1.423454716</v>
      </c>
      <c r="FL63" s="2">
        <v>0.27238117000000001</v>
      </c>
      <c r="FM63" s="2">
        <v>21.079249615000002</v>
      </c>
      <c r="FN63" s="2">
        <v>0.93197794600000083</v>
      </c>
      <c r="FO63" s="2">
        <v>11.056266335999998</v>
      </c>
      <c r="FP63" s="2">
        <v>0.44176392000000031</v>
      </c>
      <c r="FQ63" s="2">
        <v>5.9848215400000004</v>
      </c>
      <c r="FR63" s="2">
        <v>6.7177364480000001</v>
      </c>
      <c r="FS63" s="2">
        <v>5.4553794979999983</v>
      </c>
      <c r="FT63" s="2">
        <v>6.5955705189999998</v>
      </c>
      <c r="FU63" s="2">
        <v>6.5258027609999987</v>
      </c>
      <c r="FV63" s="2">
        <v>7.5003129059999996</v>
      </c>
      <c r="FW63" s="2">
        <v>4.4745776809999995</v>
      </c>
      <c r="FX63" s="2">
        <v>12.094147823000002</v>
      </c>
      <c r="FY63" s="2">
        <v>6.6444477020000017</v>
      </c>
      <c r="FZ63" s="2">
        <v>0</v>
      </c>
      <c r="GA63" s="2">
        <v>2.0703304820000001</v>
      </c>
      <c r="GB63" s="22">
        <v>1.2691081340000001</v>
      </c>
      <c r="GC63" s="22">
        <v>5.6220997619999995</v>
      </c>
      <c r="GD63" s="22">
        <v>4.39198617</v>
      </c>
      <c r="GE63" s="22">
        <v>9.6497137999999989</v>
      </c>
      <c r="GF63" s="22">
        <v>0.30038115999999898</v>
      </c>
      <c r="GG63" s="22">
        <v>-2.7494362999999793E-2</v>
      </c>
      <c r="GH63" s="22">
        <v>3.8246159999999689E-2</v>
      </c>
      <c r="GI63" s="22">
        <v>47.779498236999999</v>
      </c>
      <c r="GJ63" s="22">
        <v>4.1003501209999991</v>
      </c>
      <c r="GK63" s="22">
        <v>7.167040428</v>
      </c>
      <c r="GL63" s="23">
        <v>6.5000000000000002E-2</v>
      </c>
      <c r="GM63" s="23">
        <v>0.32409622500000002</v>
      </c>
      <c r="GN63" s="23">
        <v>12.250098744999999</v>
      </c>
      <c r="GO63" s="23">
        <v>5.1904565410000014</v>
      </c>
      <c r="GP63" s="23">
        <v>1.119955966</v>
      </c>
      <c r="GQ63" s="23">
        <v>5.1637189999999916E-2</v>
      </c>
      <c r="GR63" s="23">
        <v>0</v>
      </c>
      <c r="GS63" s="23">
        <v>5.4385921080000008</v>
      </c>
      <c r="GT63" s="23">
        <v>2.8993247169999994</v>
      </c>
      <c r="GU63" s="23">
        <v>3.3745201950000001</v>
      </c>
      <c r="GV63" s="23">
        <v>8.5828179989999995</v>
      </c>
      <c r="GW63" s="23">
        <v>0.22884814599999845</v>
      </c>
      <c r="GX63" s="23">
        <v>0</v>
      </c>
      <c r="GY63" s="23">
        <v>1.8450781360000001</v>
      </c>
      <c r="GZ63" s="23">
        <v>0</v>
      </c>
      <c r="HA63" s="23">
        <v>3.0983894810000003</v>
      </c>
      <c r="HB63" s="23">
        <v>5.5913407999999998E-2</v>
      </c>
      <c r="HC63" s="23">
        <v>1.8824019029999999</v>
      </c>
      <c r="HD63" s="23">
        <v>4.855034045</v>
      </c>
      <c r="HE63" s="23">
        <v>11.448992373000001</v>
      </c>
      <c r="HF63" s="23"/>
      <c r="HG63" s="23"/>
      <c r="HH63" s="23"/>
      <c r="HI63" s="23"/>
    </row>
    <row r="64" spans="1:217">
      <c r="A64" s="29" t="s">
        <v>84</v>
      </c>
      <c r="B64" s="2">
        <v>2.4083996E-2</v>
      </c>
      <c r="C64" s="2">
        <v>0.153759022</v>
      </c>
      <c r="D64" s="2">
        <v>0.45370427200000002</v>
      </c>
      <c r="E64" s="2">
        <v>1.1578754E-2</v>
      </c>
      <c r="F64" s="2">
        <v>0.47499455699999998</v>
      </c>
      <c r="G64" s="2">
        <v>1.0890378350000001</v>
      </c>
      <c r="H64" s="2">
        <v>1.6036149790000001</v>
      </c>
      <c r="I64" s="2">
        <v>0.38358105599999998</v>
      </c>
      <c r="J64" s="2">
        <v>1.232733493</v>
      </c>
      <c r="K64" s="2">
        <v>1.144539577</v>
      </c>
      <c r="L64" s="2">
        <v>2.7720381470000004</v>
      </c>
      <c r="M64" s="2">
        <v>10.391445579999999</v>
      </c>
      <c r="N64" s="2">
        <v>0</v>
      </c>
      <c r="O64" s="2">
        <v>0.15305560199999999</v>
      </c>
      <c r="P64" s="2">
        <v>0.17860696300000001</v>
      </c>
      <c r="Q64" s="2">
        <v>2.173087964</v>
      </c>
      <c r="R64" s="2">
        <v>7.0415912999999997E-2</v>
      </c>
      <c r="S64" s="2">
        <v>1.9393346169999999</v>
      </c>
      <c r="T64" s="2">
        <v>0.117560936</v>
      </c>
      <c r="U64" s="2">
        <v>1.395978538</v>
      </c>
      <c r="V64" s="2">
        <v>2.867110925</v>
      </c>
      <c r="W64" s="2">
        <v>1.8838651210000001</v>
      </c>
      <c r="X64" s="2">
        <v>1.295980103</v>
      </c>
      <c r="Y64" s="2">
        <v>0.38923467699999997</v>
      </c>
      <c r="Z64" s="2">
        <v>0.131103732</v>
      </c>
      <c r="AA64" s="2">
        <v>0.31011485499999997</v>
      </c>
      <c r="AB64" s="2">
        <v>0.70619625799999997</v>
      </c>
      <c r="AC64" s="2">
        <v>0.33772522700000002</v>
      </c>
      <c r="AD64" s="2">
        <v>3.0796205560000001</v>
      </c>
      <c r="AE64" s="2">
        <v>1.3453864819999999</v>
      </c>
      <c r="AF64" s="2">
        <v>1.564350058</v>
      </c>
      <c r="AG64" s="2">
        <v>0.73352775399999992</v>
      </c>
      <c r="AH64" s="2">
        <v>1.3675672890000001</v>
      </c>
      <c r="AI64" s="2">
        <v>0.33696730499999999</v>
      </c>
      <c r="AJ64" s="2">
        <v>0.54365657999999994</v>
      </c>
      <c r="AK64" s="2">
        <v>0.200920776</v>
      </c>
      <c r="AL64" s="2">
        <v>0.76316562499999996</v>
      </c>
      <c r="AM64" s="2">
        <v>6.9224436E-2</v>
      </c>
      <c r="AN64" s="2">
        <v>0.575739577</v>
      </c>
      <c r="AO64" s="2">
        <v>0.21076793399999999</v>
      </c>
      <c r="AP64" s="2">
        <v>2.054332912</v>
      </c>
      <c r="AQ64" s="2">
        <v>1.603886514</v>
      </c>
      <c r="AR64" s="2">
        <v>0.56295251599999996</v>
      </c>
      <c r="AS64" s="2">
        <v>1.0644458320000001</v>
      </c>
      <c r="AT64" s="2">
        <v>1.0487774300000001</v>
      </c>
      <c r="AU64" s="2">
        <v>0.10432743700000001</v>
      </c>
      <c r="AV64" s="2">
        <v>0.77394171900000008</v>
      </c>
      <c r="AW64" s="2">
        <v>4.4865872410000005</v>
      </c>
      <c r="AX64" s="2">
        <v>8.6881130000000001E-2</v>
      </c>
      <c r="AY64" s="2">
        <v>8.3258097000000003E-2</v>
      </c>
      <c r="AZ64" s="2">
        <v>0.39480077499999999</v>
      </c>
      <c r="BA64" s="2">
        <v>0.62046981700000003</v>
      </c>
      <c r="BB64" s="2">
        <v>0.72072043799999996</v>
      </c>
      <c r="BC64" s="2">
        <v>0.54903517999999996</v>
      </c>
      <c r="BD64" s="2">
        <v>0.597753694</v>
      </c>
      <c r="BE64" s="2">
        <v>0.44128114900000004</v>
      </c>
      <c r="BF64" s="2">
        <v>0.56428780300000003</v>
      </c>
      <c r="BG64" s="2">
        <v>0.51310538699999997</v>
      </c>
      <c r="BH64" s="2">
        <v>1.1378684450000001</v>
      </c>
      <c r="BI64" s="2">
        <v>4.3104268490000006</v>
      </c>
      <c r="BJ64" s="2">
        <v>5.6319662999999999E-2</v>
      </c>
      <c r="BK64" s="2">
        <v>0.21859472899999999</v>
      </c>
      <c r="BL64" s="2">
        <v>0.72112336200000005</v>
      </c>
      <c r="BM64" s="2">
        <v>0.657078253</v>
      </c>
      <c r="BN64" s="2">
        <v>0.90014252799999994</v>
      </c>
      <c r="BO64" s="2">
        <v>0.32227915400000001</v>
      </c>
      <c r="BP64" s="2">
        <v>4.346567072</v>
      </c>
      <c r="BQ64" s="2">
        <v>4.8744633620000002</v>
      </c>
      <c r="BR64" s="2">
        <v>0.37087796700000003</v>
      </c>
      <c r="BS64" s="2">
        <v>0.70273194100000003</v>
      </c>
      <c r="BT64" s="2">
        <v>4.1337854269999994</v>
      </c>
      <c r="BU64" s="2">
        <v>2.5618252590000004</v>
      </c>
      <c r="BV64" s="2">
        <v>0.24954607700000001</v>
      </c>
      <c r="BW64" s="2">
        <v>3.3101462669999999</v>
      </c>
      <c r="BX64" s="2">
        <v>0.35149777399999999</v>
      </c>
      <c r="BY64" s="2">
        <v>1.1721881830000001</v>
      </c>
      <c r="BZ64" s="2">
        <v>1.684141482</v>
      </c>
      <c r="CA64" s="2">
        <v>0.63228846899999991</v>
      </c>
      <c r="CB64" s="2">
        <v>0.5965703160000001</v>
      </c>
      <c r="CC64" s="2">
        <v>7.5947160150000004</v>
      </c>
      <c r="CD64" s="2">
        <v>5.9477800500000004</v>
      </c>
      <c r="CE64" s="2">
        <v>1.393842571</v>
      </c>
      <c r="CF64" s="2">
        <v>2.8440910709999998</v>
      </c>
      <c r="CG64" s="2">
        <v>4.7303481119999997</v>
      </c>
      <c r="CH64" s="2">
        <v>4.8687440999999998E-2</v>
      </c>
      <c r="CI64" s="2">
        <v>0.31660712499999999</v>
      </c>
      <c r="CJ64" s="2">
        <v>0.56330986499999991</v>
      </c>
      <c r="CK64" s="2">
        <v>0.32272091799999997</v>
      </c>
      <c r="CL64" s="2">
        <v>0.65876595299999996</v>
      </c>
      <c r="CM64" s="2">
        <v>8.3039434540000006</v>
      </c>
      <c r="CN64" s="2">
        <v>8.8552919120000002</v>
      </c>
      <c r="CO64" s="2">
        <v>0.48310573799999995</v>
      </c>
      <c r="CP64" s="2">
        <v>0.942208826</v>
      </c>
      <c r="CQ64" s="2">
        <v>23.325729988999999</v>
      </c>
      <c r="CR64" s="2">
        <v>0.92226294900000005</v>
      </c>
      <c r="CS64" s="2">
        <v>4.4075897409999998</v>
      </c>
      <c r="CT64" s="2">
        <v>1.5624880000000001E-3</v>
      </c>
      <c r="CU64" s="2">
        <v>0.26833252700000004</v>
      </c>
      <c r="CV64" s="2">
        <v>5.9219077450000004</v>
      </c>
      <c r="CW64" s="2">
        <v>9.596050365</v>
      </c>
      <c r="CX64" s="2">
        <v>0.76898247399999997</v>
      </c>
      <c r="CY64" s="2">
        <v>1.832056753</v>
      </c>
      <c r="CZ64" s="2">
        <v>0.99948613200000003</v>
      </c>
      <c r="DA64" s="2">
        <v>43.279888684999996</v>
      </c>
      <c r="DB64" s="2">
        <v>0.54103051300000005</v>
      </c>
      <c r="DC64" s="2">
        <v>2.5807246629999998</v>
      </c>
      <c r="DD64" s="2">
        <v>0.47314645999999999</v>
      </c>
      <c r="DE64" s="2">
        <v>13.387381256000001</v>
      </c>
      <c r="DF64" s="2">
        <v>1.502547804</v>
      </c>
      <c r="DG64" s="2">
        <v>2.7367276729999999</v>
      </c>
      <c r="DH64" s="2">
        <v>5.0173341049999998</v>
      </c>
      <c r="DI64" s="2">
        <v>2.3149258590000001</v>
      </c>
      <c r="DJ64" s="2">
        <v>13.956079754000001</v>
      </c>
      <c r="DK64" s="2">
        <v>1.1144691789999999</v>
      </c>
      <c r="DL64" s="2">
        <v>2.6454406189999999</v>
      </c>
      <c r="DM64" s="2">
        <v>1.286343979</v>
      </c>
      <c r="DN64" s="2">
        <v>2.2104226929999999</v>
      </c>
      <c r="DO64" s="2">
        <v>2.9711609830000003</v>
      </c>
      <c r="DP64" s="2">
        <v>3.1781359619999998</v>
      </c>
      <c r="DQ64" s="2">
        <v>7.9292522139999999</v>
      </c>
      <c r="DR64" s="2">
        <v>2.896019984</v>
      </c>
      <c r="DS64" s="2">
        <v>1.5474661120000002</v>
      </c>
      <c r="DT64" s="2">
        <v>0.380484294</v>
      </c>
      <c r="DU64" s="2">
        <v>1.613383209</v>
      </c>
      <c r="DV64" s="2">
        <v>10.794372933</v>
      </c>
      <c r="DW64" s="2">
        <v>1.258020527</v>
      </c>
      <c r="DX64" s="2">
        <v>3.7637757940000003</v>
      </c>
      <c r="DY64" s="2">
        <v>0.66647512200000003</v>
      </c>
      <c r="DZ64" s="2">
        <v>0.30052759400000001</v>
      </c>
      <c r="EA64" s="2">
        <v>1.173717592</v>
      </c>
      <c r="EB64" s="2">
        <v>3.385753765</v>
      </c>
      <c r="EC64" s="2">
        <v>7.0837620660000002</v>
      </c>
      <c r="ED64" s="2">
        <v>3.8200305999999996E-2</v>
      </c>
      <c r="EE64" s="2">
        <v>0.242865425</v>
      </c>
      <c r="EF64" s="2">
        <v>4.6281057560000001</v>
      </c>
      <c r="EG64" s="2">
        <v>1.5880602590000001</v>
      </c>
      <c r="EH64" s="2">
        <v>1.409446309</v>
      </c>
      <c r="EI64" s="2">
        <v>0.89162165900000001</v>
      </c>
      <c r="EJ64" s="2">
        <v>1.1441673559999999</v>
      </c>
      <c r="EK64" s="2">
        <v>0.76397044600000008</v>
      </c>
      <c r="EL64" s="2">
        <v>3.9560279059999996</v>
      </c>
      <c r="EM64" s="2">
        <v>17.558821422000001</v>
      </c>
      <c r="EN64" s="2">
        <v>2.7615957549999997</v>
      </c>
      <c r="EO64" s="2">
        <v>26.09311001</v>
      </c>
      <c r="EP64" s="2">
        <v>1.6234101539999999</v>
      </c>
      <c r="EQ64" s="2">
        <v>0.60103043600000006</v>
      </c>
      <c r="ER64" s="2">
        <v>8.4306501110000003</v>
      </c>
      <c r="ES64" s="2">
        <v>5.5964809600000001</v>
      </c>
      <c r="ET64" s="2">
        <v>2.5563255580000002</v>
      </c>
      <c r="EU64" s="2">
        <v>4.3205648959999996</v>
      </c>
      <c r="EV64" s="2">
        <v>3.607848932</v>
      </c>
      <c r="EW64" s="2">
        <v>3.8160592470000001</v>
      </c>
      <c r="EX64" s="2">
        <v>4.7090723600000004</v>
      </c>
      <c r="EY64" s="2">
        <v>2.4797252360000002</v>
      </c>
      <c r="EZ64" s="2">
        <v>2.1182562950000001</v>
      </c>
      <c r="FA64" s="2">
        <v>11.257793553999999</v>
      </c>
      <c r="FB64" s="2">
        <v>0.68949226200000002</v>
      </c>
      <c r="FC64" s="2">
        <v>4.3469093550000002</v>
      </c>
      <c r="FD64" s="2">
        <v>4.0037323630000001</v>
      </c>
      <c r="FE64" s="2">
        <v>3.9668220399999998</v>
      </c>
      <c r="FF64" s="2">
        <v>6.0846003790000003</v>
      </c>
      <c r="FG64" s="2">
        <v>2.076048245</v>
      </c>
      <c r="FH64" s="2">
        <v>3.01778089</v>
      </c>
      <c r="FI64" s="2">
        <v>7.8471670979999999</v>
      </c>
      <c r="FJ64" s="2">
        <v>3.1073684369999999</v>
      </c>
      <c r="FK64" s="2">
        <v>1.1685520899999999</v>
      </c>
      <c r="FL64" s="2">
        <v>0.693339598</v>
      </c>
      <c r="FM64" s="2">
        <v>12.859649678</v>
      </c>
      <c r="FN64" s="2">
        <v>1.5502599689999998</v>
      </c>
      <c r="FO64" s="2">
        <v>1.279836594</v>
      </c>
      <c r="FP64" s="2">
        <v>3.6214228159999999</v>
      </c>
      <c r="FQ64" s="2">
        <v>2.0129588379999999</v>
      </c>
      <c r="FR64" s="2">
        <v>1.7482958680000003</v>
      </c>
      <c r="FS64" s="2">
        <v>2.9427016579999998</v>
      </c>
      <c r="FT64" s="2">
        <v>1.0824635149999999</v>
      </c>
      <c r="FU64" s="2">
        <v>2.8193997159999999</v>
      </c>
      <c r="FV64" s="2">
        <v>2.9169289520000001</v>
      </c>
      <c r="FW64" s="2">
        <v>13.893528302</v>
      </c>
      <c r="FX64" s="2">
        <v>3.2682064729999998</v>
      </c>
      <c r="FY64" s="2">
        <v>3.354921364</v>
      </c>
      <c r="FZ64" s="2">
        <v>0.61821350500000005</v>
      </c>
      <c r="GA64" s="2">
        <v>1.448189647</v>
      </c>
      <c r="GB64" s="22">
        <v>4.212542257</v>
      </c>
      <c r="GC64" s="22">
        <v>1.0397115289999999</v>
      </c>
      <c r="GD64" s="22">
        <v>3.6616151939999999</v>
      </c>
      <c r="GE64" s="22">
        <v>3.9343442710000001</v>
      </c>
      <c r="GF64" s="22">
        <v>9.6023053219999994</v>
      </c>
      <c r="GG64" s="22">
        <v>0.88984429099999995</v>
      </c>
      <c r="GH64" s="22">
        <v>1.5721750480000001</v>
      </c>
      <c r="GI64" s="22">
        <v>2.7742849390000002</v>
      </c>
      <c r="GJ64" s="22">
        <v>2.988700712</v>
      </c>
      <c r="GK64" s="22">
        <v>20.903266191</v>
      </c>
      <c r="GL64" s="23">
        <v>0.13312712899999998</v>
      </c>
      <c r="GM64" s="23">
        <v>1.655179518</v>
      </c>
      <c r="GN64" s="23">
        <v>3.1058420550000001</v>
      </c>
      <c r="GO64" s="23">
        <v>2.6751109839999998</v>
      </c>
      <c r="GP64" s="23">
        <v>4.8933639000000007</v>
      </c>
      <c r="GQ64" s="23">
        <v>5.0470422039999994</v>
      </c>
      <c r="GR64" s="23">
        <v>7.4948182650000001</v>
      </c>
      <c r="GS64" s="23">
        <v>2.8116497679999997</v>
      </c>
      <c r="GT64" s="23">
        <v>3.034719258</v>
      </c>
      <c r="GU64" s="23">
        <v>3.0556649450000002</v>
      </c>
      <c r="GV64" s="23">
        <v>2.5988137080000002</v>
      </c>
      <c r="GW64" s="23">
        <v>9.7754449929999989</v>
      </c>
      <c r="GX64" s="23">
        <v>1.2874739369999999</v>
      </c>
      <c r="GY64" s="23">
        <v>1.7540126039999999</v>
      </c>
      <c r="GZ64" s="23">
        <v>9.8645663579999994</v>
      </c>
      <c r="HA64" s="23">
        <v>0.58592898000000004</v>
      </c>
      <c r="HB64" s="23">
        <v>1.791183207</v>
      </c>
      <c r="HC64" s="23">
        <v>1.6021542790000001</v>
      </c>
      <c r="HD64" s="23">
        <v>5.5557533160000006</v>
      </c>
      <c r="HE64" s="23">
        <v>3.3087252029999998</v>
      </c>
      <c r="HF64" s="23"/>
      <c r="HG64" s="23"/>
      <c r="HH64" s="23"/>
      <c r="HI64" s="23"/>
    </row>
    <row r="65" spans="1:217">
      <c r="A65" s="29" t="s">
        <v>85</v>
      </c>
      <c r="B65" s="2">
        <v>0.21</v>
      </c>
      <c r="C65" s="2">
        <v>0.46600000000000003</v>
      </c>
      <c r="D65" s="2">
        <v>0.56615591199999993</v>
      </c>
      <c r="E65" s="2">
        <v>0.48299999999999998</v>
      </c>
      <c r="F65" s="2">
        <v>0.32036968300000002</v>
      </c>
      <c r="G65" s="2">
        <v>0.630010238</v>
      </c>
      <c r="H65" s="2">
        <v>0.54800000000000004</v>
      </c>
      <c r="I65" s="2">
        <v>0.21099999999999999</v>
      </c>
      <c r="J65" s="2">
        <v>0.70525000000000004</v>
      </c>
      <c r="K65" s="2">
        <v>0.52001023800000001</v>
      </c>
      <c r="L65" s="2">
        <v>0.65100000000000002</v>
      </c>
      <c r="M65" s="2">
        <v>0.128</v>
      </c>
      <c r="N65" s="2">
        <v>0</v>
      </c>
      <c r="O65" s="2">
        <v>0.16200000000000001</v>
      </c>
      <c r="P65" s="2">
        <v>0.29199999999999998</v>
      </c>
      <c r="Q65" s="2">
        <v>0.72099999999999997</v>
      </c>
      <c r="R65" s="2">
        <v>0.498</v>
      </c>
      <c r="S65" s="2">
        <v>0.40600000000000003</v>
      </c>
      <c r="T65" s="2">
        <v>0.55600000000000005</v>
      </c>
      <c r="U65" s="2">
        <v>0.48799999999999999</v>
      </c>
      <c r="V65" s="2">
        <v>0.65600000000000003</v>
      </c>
      <c r="W65" s="2">
        <v>0.99041499999999993</v>
      </c>
      <c r="X65" s="2">
        <v>0.73720000000000008</v>
      </c>
      <c r="Y65" s="2">
        <v>0.36495499999999997</v>
      </c>
      <c r="Z65" s="2">
        <v>0.28685000000000005</v>
      </c>
      <c r="AA65" s="2">
        <v>0.86054999999999993</v>
      </c>
      <c r="AB65" s="2">
        <v>0.54669930199999994</v>
      </c>
      <c r="AC65" s="2">
        <v>0.63665436399999997</v>
      </c>
      <c r="AD65" s="2">
        <v>0.61417829400000001</v>
      </c>
      <c r="AE65" s="2">
        <v>0.54901029400000001</v>
      </c>
      <c r="AF65" s="2">
        <v>0.54318629399999996</v>
      </c>
      <c r="AG65" s="2">
        <v>0.6480102940000001</v>
      </c>
      <c r="AH65" s="2">
        <v>0.81451029400000008</v>
      </c>
      <c r="AI65" s="2">
        <v>0.53351029400000005</v>
      </c>
      <c r="AJ65" s="2">
        <v>2.0198705700000001</v>
      </c>
      <c r="AK65" s="2">
        <v>0.28300083999999998</v>
      </c>
      <c r="AL65" s="2">
        <v>0.60585</v>
      </c>
      <c r="AM65" s="2">
        <v>0.84584999999999999</v>
      </c>
      <c r="AN65" s="2">
        <v>0.72284999999999999</v>
      </c>
      <c r="AO65" s="2">
        <v>0.75814999999999999</v>
      </c>
      <c r="AP65" s="2">
        <v>0.64815</v>
      </c>
      <c r="AQ65" s="2">
        <v>0.75685000000000002</v>
      </c>
      <c r="AR65" s="2">
        <v>0.83084999999999998</v>
      </c>
      <c r="AS65" s="2">
        <v>0.85354999999999992</v>
      </c>
      <c r="AT65" s="2">
        <v>0.5303175</v>
      </c>
      <c r="AU65" s="2">
        <v>0.55221363599999995</v>
      </c>
      <c r="AV65" s="2">
        <v>0.49348718600000002</v>
      </c>
      <c r="AW65" s="2">
        <v>8.9849999999999999E-2</v>
      </c>
      <c r="AX65" s="2">
        <v>0.63359066700000011</v>
      </c>
      <c r="AY65" s="2">
        <v>0.64959066700000001</v>
      </c>
      <c r="AZ65" s="2">
        <v>0.84957177500000003</v>
      </c>
      <c r="BA65" s="2">
        <v>0.80457177499999999</v>
      </c>
      <c r="BB65" s="2">
        <v>0.86557177500000004</v>
      </c>
      <c r="BC65" s="2">
        <v>0.813571775</v>
      </c>
      <c r="BD65" s="2">
        <v>0.80857177499999999</v>
      </c>
      <c r="BE65" s="2">
        <v>0.80084677500000001</v>
      </c>
      <c r="BF65" s="2">
        <v>0.79357177499999998</v>
      </c>
      <c r="BG65" s="2">
        <v>0.813571775</v>
      </c>
      <c r="BH65" s="2">
        <v>0.7956234419999999</v>
      </c>
      <c r="BI65" s="2">
        <v>0.336760108</v>
      </c>
      <c r="BJ65" s="2">
        <v>0.64331107999999992</v>
      </c>
      <c r="BK65" s="2">
        <v>0.80100000000000005</v>
      </c>
      <c r="BL65" s="2">
        <v>0.71765000000000001</v>
      </c>
      <c r="BM65" s="2">
        <v>0.66015000000000001</v>
      </c>
      <c r="BN65" s="2">
        <v>0.71765000000000001</v>
      </c>
      <c r="BO65" s="2">
        <v>0.66015000000000001</v>
      </c>
      <c r="BP65" s="2">
        <v>0.64015</v>
      </c>
      <c r="BQ65" s="2">
        <v>1.559763778</v>
      </c>
      <c r="BR65" s="2">
        <v>0.66235960599999999</v>
      </c>
      <c r="BS65" s="2">
        <v>0.60294039399999999</v>
      </c>
      <c r="BT65" s="2">
        <v>0.51457590000000009</v>
      </c>
      <c r="BU65" s="2">
        <v>0.12631107999999999</v>
      </c>
      <c r="BV65" s="2">
        <v>1.381</v>
      </c>
      <c r="BW65" s="2">
        <v>0.75900000000000001</v>
      </c>
      <c r="BX65" s="2">
        <v>0.76815</v>
      </c>
      <c r="BY65" s="2">
        <v>0.73614999999999997</v>
      </c>
      <c r="BZ65" s="2">
        <v>0.76615</v>
      </c>
      <c r="CA65" s="2">
        <v>0.74314999999999998</v>
      </c>
      <c r="CB65" s="2">
        <v>0.51457765300000002</v>
      </c>
      <c r="CC65" s="2">
        <v>0.88357765300000002</v>
      </c>
      <c r="CD65" s="2">
        <v>1.0535776530000001</v>
      </c>
      <c r="CE65" s="2">
        <v>1.0535776530000001</v>
      </c>
      <c r="CF65" s="2">
        <v>1.273502653</v>
      </c>
      <c r="CG65" s="2">
        <v>5.7774276550000003</v>
      </c>
      <c r="CH65" s="2">
        <v>1.032</v>
      </c>
      <c r="CI65" s="2">
        <v>0.91700000000000004</v>
      </c>
      <c r="CJ65" s="2">
        <v>0.95114999999999994</v>
      </c>
      <c r="CK65" s="2">
        <v>0.94614999999999994</v>
      </c>
      <c r="CL65" s="2">
        <v>0.93614999999999993</v>
      </c>
      <c r="CM65" s="2">
        <v>0.92615000000000003</v>
      </c>
      <c r="CN65" s="2">
        <v>1.1161500000000002</v>
      </c>
      <c r="CO65" s="2">
        <v>1.1161500000000002</v>
      </c>
      <c r="CP65" s="2">
        <v>1.0161499999999999</v>
      </c>
      <c r="CQ65" s="2">
        <v>0.95456215</v>
      </c>
      <c r="CR65" s="2">
        <v>1.1750750000000001</v>
      </c>
      <c r="CS65" s="2">
        <v>1.0318000000000001</v>
      </c>
      <c r="CT65" s="2">
        <v>1.16266</v>
      </c>
      <c r="CU65" s="2">
        <v>1.18710377</v>
      </c>
      <c r="CV65" s="2">
        <v>1.21710377</v>
      </c>
      <c r="CW65" s="2">
        <v>1.1071037699999999</v>
      </c>
      <c r="CX65" s="2">
        <v>1.20710377</v>
      </c>
      <c r="CY65" s="2">
        <v>1.23710377</v>
      </c>
      <c r="CZ65" s="2">
        <v>1.16710377</v>
      </c>
      <c r="DA65" s="2">
        <v>1.2571037699999998</v>
      </c>
      <c r="DB65" s="2">
        <v>1.28444377</v>
      </c>
      <c r="DC65" s="2">
        <v>1.1697637700000001</v>
      </c>
      <c r="DD65" s="2">
        <v>1.7594437700000001</v>
      </c>
      <c r="DE65" s="2">
        <v>1.410686251</v>
      </c>
      <c r="DF65" s="2">
        <v>1.1450666630000002</v>
      </c>
      <c r="DG65" s="2">
        <v>1.2625104329999999</v>
      </c>
      <c r="DH65" s="2">
        <v>1.5825104329999999</v>
      </c>
      <c r="DI65" s="2">
        <v>1.505200088</v>
      </c>
      <c r="DJ65" s="2">
        <v>1.2825104329999999</v>
      </c>
      <c r="DK65" s="2">
        <v>1.380110433</v>
      </c>
      <c r="DL65" s="2">
        <v>1.5240671560000001</v>
      </c>
      <c r="DM65" s="2">
        <v>1.9941661670000002</v>
      </c>
      <c r="DN65" s="2">
        <v>1.4314671559999999</v>
      </c>
      <c r="DO65" s="2">
        <v>1.119267156</v>
      </c>
      <c r="DP65" s="2">
        <v>1.3542671259999999</v>
      </c>
      <c r="DQ65" s="2">
        <v>1.4254134460000001</v>
      </c>
      <c r="DR65" s="2">
        <v>1.4705068889999999</v>
      </c>
      <c r="DS65" s="2">
        <v>1.514506889</v>
      </c>
      <c r="DT65" s="2">
        <v>1.4232468890000001</v>
      </c>
      <c r="DU65" s="2">
        <v>1.9535043000000001</v>
      </c>
      <c r="DV65" s="2">
        <v>1.2856684629999999</v>
      </c>
      <c r="DW65" s="2">
        <v>1.428578463</v>
      </c>
      <c r="DX65" s="2">
        <v>1.4785784630000001</v>
      </c>
      <c r="DY65" s="2">
        <v>1.5269118000000002</v>
      </c>
      <c r="DZ65" s="2">
        <v>1.523578463</v>
      </c>
      <c r="EA65" s="2">
        <v>1.5385784630000001</v>
      </c>
      <c r="EB65" s="2">
        <v>1.555918463</v>
      </c>
      <c r="EC65" s="2">
        <v>1.4282462310000001</v>
      </c>
      <c r="ED65" s="2">
        <v>0.91858000000000006</v>
      </c>
      <c r="EE65" s="2">
        <v>1.8166496950000002</v>
      </c>
      <c r="EF65" s="2">
        <v>2.0535163630000004</v>
      </c>
      <c r="EG65" s="2">
        <v>1.539613363</v>
      </c>
      <c r="EH65" s="2">
        <v>1.4938088629999999</v>
      </c>
      <c r="EI65" s="2">
        <v>1.5480893630000001</v>
      </c>
      <c r="EJ65" s="2">
        <v>1.4512863629999999</v>
      </c>
      <c r="EK65" s="2">
        <v>1.351286363</v>
      </c>
      <c r="EL65" s="2">
        <v>1.4103967749999999</v>
      </c>
      <c r="EM65" s="2">
        <v>1.4057301130000002</v>
      </c>
      <c r="EN65" s="2">
        <v>1.671906729</v>
      </c>
      <c r="EO65" s="2">
        <v>1.0094338970000001</v>
      </c>
      <c r="EP65" s="2">
        <v>1.52145</v>
      </c>
      <c r="EQ65" s="2">
        <v>1.538683332</v>
      </c>
      <c r="ER65" s="2">
        <v>1.4080666659999999</v>
      </c>
      <c r="ES65" s="2">
        <v>1.711313332</v>
      </c>
      <c r="ET65" s="2">
        <v>1.518106666</v>
      </c>
      <c r="EU65" s="2">
        <v>1.5981066659999998</v>
      </c>
      <c r="EV65" s="2">
        <v>1.3831066740000002</v>
      </c>
      <c r="EW65" s="2">
        <v>1.544066666</v>
      </c>
      <c r="EX65" s="2">
        <v>1.296066666</v>
      </c>
      <c r="EY65" s="2">
        <v>1.516066666</v>
      </c>
      <c r="EZ65" s="2">
        <v>1.2480328970000001</v>
      </c>
      <c r="FA65" s="2">
        <v>0.94650000000000001</v>
      </c>
      <c r="FB65" s="2">
        <v>1.5948266659999999</v>
      </c>
      <c r="FC65" s="2">
        <v>1.903926666</v>
      </c>
      <c r="FD65" s="2">
        <v>1.5689266660000001</v>
      </c>
      <c r="FE65" s="2">
        <v>1.738926666</v>
      </c>
      <c r="FF65" s="2">
        <v>1.5389266660000001</v>
      </c>
      <c r="FG65" s="2">
        <v>1.768638516</v>
      </c>
      <c r="FH65" s="2">
        <v>1.4189266660000002</v>
      </c>
      <c r="FI65" s="2">
        <v>1.3377466659999999</v>
      </c>
      <c r="FJ65" s="2">
        <v>1.1289266660000001</v>
      </c>
      <c r="FK65" s="2">
        <v>1.3842751419999999</v>
      </c>
      <c r="FL65" s="2">
        <v>3.181266666</v>
      </c>
      <c r="FM65" s="2">
        <v>0.94931290499999998</v>
      </c>
      <c r="FN65" s="2">
        <v>1.589159999</v>
      </c>
      <c r="FO65" s="2">
        <v>1.458159999</v>
      </c>
      <c r="FP65" s="2">
        <v>2.6881599989999998</v>
      </c>
      <c r="FQ65" s="2">
        <v>1.573159999</v>
      </c>
      <c r="FR65" s="2">
        <v>1.309826666</v>
      </c>
      <c r="FS65" s="2">
        <v>1.5248266659999998</v>
      </c>
      <c r="FT65" s="2">
        <v>1.3428266659999999</v>
      </c>
      <c r="FU65" s="2">
        <v>1.361538516</v>
      </c>
      <c r="FV65" s="2">
        <v>1.118159999</v>
      </c>
      <c r="FW65" s="2">
        <v>1.328646666</v>
      </c>
      <c r="FX65" s="2">
        <v>1.4855000010000001</v>
      </c>
      <c r="FY65" s="2">
        <v>1.169312905</v>
      </c>
      <c r="FZ65" s="2">
        <v>2.2346599989999998</v>
      </c>
      <c r="GA65" s="2">
        <v>2.309659999</v>
      </c>
      <c r="GB65" s="22">
        <v>2.0116599989999999</v>
      </c>
      <c r="GC65" s="22">
        <v>2.3966599990000002</v>
      </c>
      <c r="GD65" s="22">
        <v>2.3196599989999998</v>
      </c>
      <c r="GE65" s="22">
        <v>2.6493099990000002</v>
      </c>
      <c r="GF65" s="22">
        <v>2.2356599990000001</v>
      </c>
      <c r="GG65" s="22">
        <v>2.7288718489999999</v>
      </c>
      <c r="GH65" s="22">
        <v>2.9541599989999998</v>
      </c>
      <c r="GI65" s="22">
        <v>2.0901599989999999</v>
      </c>
      <c r="GJ65" s="22">
        <v>2.9874999990000002</v>
      </c>
      <c r="GK65" s="22">
        <v>1.7474962379999999</v>
      </c>
      <c r="GL65" s="23">
        <v>2.6260532960000003</v>
      </c>
      <c r="GM65" s="23">
        <v>3.6072532959999997</v>
      </c>
      <c r="GN65" s="23">
        <v>2.2872532959999998</v>
      </c>
      <c r="GO65" s="23">
        <v>2.0822532959999998</v>
      </c>
      <c r="GP65" s="23">
        <v>2.8522532959999998</v>
      </c>
      <c r="GQ65" s="23">
        <v>2.6092532959999999</v>
      </c>
      <c r="GR65" s="23">
        <v>2.1022532959999998</v>
      </c>
      <c r="GS65" s="23">
        <v>2.5522532959999999</v>
      </c>
      <c r="GT65" s="23">
        <v>2.3549132960000003</v>
      </c>
      <c r="GU65" s="23">
        <v>2.519593296</v>
      </c>
      <c r="GV65" s="23">
        <v>2.0995932960000001</v>
      </c>
      <c r="GW65" s="23">
        <v>1.765739537</v>
      </c>
      <c r="GX65" s="23">
        <v>3.1030532960000001</v>
      </c>
      <c r="GY65" s="23">
        <v>2.5322532959999999</v>
      </c>
      <c r="GZ65" s="23">
        <v>2.6672532959999997</v>
      </c>
      <c r="HA65" s="23">
        <v>2.0259232959999998</v>
      </c>
      <c r="HB65" s="23">
        <v>2.4009232959999998</v>
      </c>
      <c r="HC65" s="23">
        <v>2.8719232959999998</v>
      </c>
      <c r="HD65" s="23">
        <v>2.5012532959999998</v>
      </c>
      <c r="HE65" s="23">
        <v>2.4272532959999999</v>
      </c>
      <c r="HF65" s="23"/>
      <c r="HG65" s="23"/>
      <c r="HH65" s="23"/>
      <c r="HI65" s="23"/>
    </row>
    <row r="66" spans="1:217">
      <c r="A66" s="29" t="s">
        <v>86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43.624000000000002</v>
      </c>
      <c r="BG66" s="2">
        <v>6.2320000000000002</v>
      </c>
      <c r="BH66" s="2">
        <v>1.8440000000000001</v>
      </c>
      <c r="BI66" s="2">
        <v>0</v>
      </c>
      <c r="BJ66" s="2">
        <v>0</v>
      </c>
      <c r="BK66" s="2">
        <v>0</v>
      </c>
      <c r="BL66" s="2">
        <v>44.865614579999999</v>
      </c>
      <c r="BM66" s="2">
        <v>0</v>
      </c>
      <c r="BN66" s="2">
        <v>0</v>
      </c>
      <c r="BO66" s="2">
        <v>0</v>
      </c>
      <c r="BP66" s="2">
        <v>47.8</v>
      </c>
      <c r="BQ66" s="2">
        <v>0</v>
      </c>
      <c r="BR66" s="2">
        <v>-8.0109198880000001</v>
      </c>
      <c r="BS66" s="2">
        <v>28.877889186000001</v>
      </c>
      <c r="BT66" s="2">
        <v>0</v>
      </c>
      <c r="BU66" s="2">
        <v>13.834130232</v>
      </c>
      <c r="BV66" s="2">
        <v>0</v>
      </c>
      <c r="BW66" s="2">
        <v>10</v>
      </c>
      <c r="BX66" s="2">
        <v>0</v>
      </c>
      <c r="BY66" s="2">
        <v>0.99</v>
      </c>
      <c r="BZ66" s="2">
        <v>50</v>
      </c>
      <c r="CA66" s="2">
        <v>0</v>
      </c>
      <c r="CB66" s="2">
        <v>0.99</v>
      </c>
      <c r="CC66" s="2">
        <v>0</v>
      </c>
      <c r="CD66" s="2">
        <v>0.62172168799999994</v>
      </c>
      <c r="CE66" s="2">
        <v>0.75</v>
      </c>
      <c r="CF66" s="2">
        <v>2.75</v>
      </c>
      <c r="CG66" s="2">
        <v>30</v>
      </c>
      <c r="CH66" s="2">
        <v>0</v>
      </c>
      <c r="CI66" s="2">
        <v>0</v>
      </c>
      <c r="CJ66" s="2">
        <v>31</v>
      </c>
      <c r="CK66" s="2">
        <v>0</v>
      </c>
      <c r="CL66" s="2">
        <v>0</v>
      </c>
      <c r="CM66" s="2">
        <v>0</v>
      </c>
      <c r="CN66" s="2">
        <v>5</v>
      </c>
      <c r="CO66" s="2">
        <v>0</v>
      </c>
      <c r="CP66" s="2">
        <v>27.25</v>
      </c>
      <c r="CQ66" s="2">
        <v>4.6947600000000005</v>
      </c>
      <c r="CR66" s="2">
        <v>0.85109299999999999</v>
      </c>
      <c r="CS66" s="2">
        <v>35.65</v>
      </c>
      <c r="CT66" s="2">
        <v>0</v>
      </c>
      <c r="CU66" s="2">
        <v>0</v>
      </c>
      <c r="CV66" s="2">
        <v>18.994750086</v>
      </c>
      <c r="CW66" s="2">
        <v>0</v>
      </c>
      <c r="CX66" s="2">
        <v>2.8</v>
      </c>
      <c r="CY66" s="2">
        <v>41.856893249999999</v>
      </c>
      <c r="CZ66" s="2">
        <v>2.1503175000000003</v>
      </c>
      <c r="DA66" s="2">
        <v>12.563819039</v>
      </c>
      <c r="DB66" s="2">
        <v>2.8627938899999998</v>
      </c>
      <c r="DC66" s="2">
        <v>13.986439739</v>
      </c>
      <c r="DD66" s="2">
        <v>29.449232881</v>
      </c>
      <c r="DE66" s="2">
        <v>71.67447147</v>
      </c>
      <c r="DF66" s="2">
        <v>12.17942309</v>
      </c>
      <c r="DG66" s="2">
        <v>2.3920919999999999</v>
      </c>
      <c r="DH66" s="2">
        <v>41.933910675</v>
      </c>
      <c r="DI66" s="2">
        <v>8.5578768000000007</v>
      </c>
      <c r="DJ66" s="2">
        <v>17.318256242</v>
      </c>
      <c r="DK66" s="2">
        <v>8.3738789799999989</v>
      </c>
      <c r="DL66" s="2">
        <v>6.1627915800000004</v>
      </c>
      <c r="DM66" s="2">
        <v>10.586135689999999</v>
      </c>
      <c r="DN66" s="2">
        <v>11.760296739999999</v>
      </c>
      <c r="DO66" s="2">
        <v>83.490883046000008</v>
      </c>
      <c r="DP66" s="2">
        <v>211.26898878800003</v>
      </c>
      <c r="DQ66" s="2">
        <v>116.11923877000001</v>
      </c>
      <c r="DR66" s="2">
        <v>31.723782675999999</v>
      </c>
      <c r="DS66" s="2">
        <v>58.817607055000003</v>
      </c>
      <c r="DT66" s="2">
        <v>16.886023602000002</v>
      </c>
      <c r="DU66" s="2">
        <v>20.052258303999999</v>
      </c>
      <c r="DV66" s="2">
        <v>6.7220163639999999</v>
      </c>
      <c r="DW66" s="2">
        <v>4.9882653000000001</v>
      </c>
      <c r="DX66" s="2">
        <v>7.6491119900000006</v>
      </c>
      <c r="DY66" s="2">
        <v>7.9976602799999998</v>
      </c>
      <c r="DZ66" s="2">
        <v>19.382724490000001</v>
      </c>
      <c r="EA66" s="2">
        <v>12.857719120000001</v>
      </c>
      <c r="EB66" s="2">
        <v>15.32120868</v>
      </c>
      <c r="EC66" s="2">
        <v>17.773480299999999</v>
      </c>
      <c r="ED66" s="2">
        <v>0</v>
      </c>
      <c r="EE66" s="2">
        <v>0</v>
      </c>
      <c r="EF66" s="2">
        <v>2.6395600000000002E-2</v>
      </c>
      <c r="EG66" s="2">
        <v>1.2646980000000001</v>
      </c>
      <c r="EH66" s="2">
        <v>6.8805000000000005E-2</v>
      </c>
      <c r="EI66" s="2">
        <v>0</v>
      </c>
      <c r="EJ66" s="2">
        <v>11.792950864</v>
      </c>
      <c r="EK66" s="2">
        <v>2.780651089</v>
      </c>
      <c r="EL66" s="2">
        <v>4.8132103150000001</v>
      </c>
      <c r="EM66" s="2">
        <v>1.7789220430000001</v>
      </c>
      <c r="EN66" s="2">
        <v>21.820246270999998</v>
      </c>
      <c r="EO66" s="2">
        <v>75.522992407000004</v>
      </c>
      <c r="EP66" s="2">
        <v>9.7981040460000006</v>
      </c>
      <c r="EQ66" s="2">
        <v>6.0860331170000004</v>
      </c>
      <c r="ER66" s="2">
        <v>7.3253278019999994</v>
      </c>
      <c r="ES66" s="2">
        <v>18.497742003999999</v>
      </c>
      <c r="ET66" s="2">
        <v>118.79997322999999</v>
      </c>
      <c r="EU66" s="2">
        <v>4.1403930929999992</v>
      </c>
      <c r="EV66" s="2">
        <v>32.534029134000001</v>
      </c>
      <c r="EW66" s="2">
        <v>5.3540879439999998</v>
      </c>
      <c r="EX66" s="2">
        <v>5.0307378799999993</v>
      </c>
      <c r="EY66" s="2">
        <v>19.633918830000002</v>
      </c>
      <c r="EZ66" s="2">
        <v>8.3382437800000009</v>
      </c>
      <c r="FA66" s="2">
        <v>10.793548895000001</v>
      </c>
      <c r="FB66" s="48">
        <v>5.0110200000000003</v>
      </c>
      <c r="FC66" s="48">
        <v>0.53196679800000002</v>
      </c>
      <c r="FD66" s="48">
        <v>28.889052491000001</v>
      </c>
      <c r="FE66" s="48">
        <v>5.1698671059999999</v>
      </c>
      <c r="FF66" s="48">
        <v>38.516552345000001</v>
      </c>
      <c r="FG66" s="48">
        <v>92.569535200000004</v>
      </c>
      <c r="FH66" s="48">
        <v>52.555678868000001</v>
      </c>
      <c r="FI66" s="48">
        <v>43.723039299999996</v>
      </c>
      <c r="FJ66" s="48">
        <v>44.186216999999999</v>
      </c>
      <c r="FK66" s="48">
        <v>69.424549304999999</v>
      </c>
      <c r="FL66" s="48">
        <v>6.0545397640000003</v>
      </c>
      <c r="FM66" s="48">
        <v>40.756738411999997</v>
      </c>
      <c r="FN66" s="48">
        <v>3.0583979999999999</v>
      </c>
      <c r="FO66" s="48">
        <v>3.8293710000000001</v>
      </c>
      <c r="FP66" s="48">
        <v>24.637237750000004</v>
      </c>
      <c r="FQ66" s="48">
        <v>1.389789999999999</v>
      </c>
      <c r="FR66" s="48">
        <v>191.95136836899999</v>
      </c>
      <c r="FS66" s="48">
        <v>2.4425239840000001</v>
      </c>
      <c r="FT66" s="48">
        <v>115.742719886</v>
      </c>
      <c r="FU66" s="48">
        <v>12.883233913000002</v>
      </c>
      <c r="FV66" s="48">
        <v>2.3103989999999994</v>
      </c>
      <c r="FW66" s="48">
        <v>133.93228404800001</v>
      </c>
      <c r="FX66" s="48">
        <v>2.7139400000000022</v>
      </c>
      <c r="FY66" s="48">
        <v>207.08313620200002</v>
      </c>
      <c r="FZ66" s="48">
        <v>0.98080299999999987</v>
      </c>
      <c r="GA66" s="48">
        <v>0.34749619999999998</v>
      </c>
      <c r="GB66" s="22">
        <v>23.649765058999996</v>
      </c>
      <c r="GC66" s="22">
        <v>226.11157165499998</v>
      </c>
      <c r="GD66" s="22">
        <v>111.827401563</v>
      </c>
      <c r="GE66" s="22">
        <v>112.60460634</v>
      </c>
      <c r="GF66" s="22">
        <v>6.0586565510000003</v>
      </c>
      <c r="GG66" s="22">
        <v>28.039016957000001</v>
      </c>
      <c r="GH66" s="22">
        <v>70.723880880999999</v>
      </c>
      <c r="GI66" s="22">
        <v>22.013456912000002</v>
      </c>
      <c r="GJ66" s="22">
        <v>3.4927752999999999</v>
      </c>
      <c r="GK66" s="22">
        <v>17.625246813999997</v>
      </c>
      <c r="GL66" s="23">
        <v>3.3744400799999994</v>
      </c>
      <c r="GM66" s="23">
        <v>43.139714015999999</v>
      </c>
      <c r="GN66" s="23">
        <v>148.37952017000001</v>
      </c>
      <c r="GO66" s="23">
        <v>131.76062661700001</v>
      </c>
      <c r="GP66" s="23">
        <v>150.51868556700001</v>
      </c>
      <c r="GQ66" s="23">
        <v>28.280153954999999</v>
      </c>
      <c r="GR66" s="23">
        <v>123.104868915</v>
      </c>
      <c r="GS66" s="23">
        <v>52.924097393000004</v>
      </c>
      <c r="GT66" s="23">
        <v>89.230176626000002</v>
      </c>
      <c r="GU66" s="23">
        <v>64.205020652000002</v>
      </c>
      <c r="GV66" s="23">
        <v>59.299031407999998</v>
      </c>
      <c r="GW66" s="23">
        <v>52.265938745000007</v>
      </c>
      <c r="GX66" s="23">
        <v>22.478931315000001</v>
      </c>
      <c r="GY66" s="23">
        <v>27.097564800000001</v>
      </c>
      <c r="GZ66" s="23">
        <v>46.901405406999999</v>
      </c>
      <c r="HA66" s="23">
        <v>49.774045143000002</v>
      </c>
      <c r="HB66" s="23">
        <v>27.054628176999998</v>
      </c>
      <c r="HC66" s="23">
        <v>29.519857572999999</v>
      </c>
      <c r="HD66" s="23">
        <v>352.91899396700006</v>
      </c>
      <c r="HE66" s="23">
        <v>29.875429958000002</v>
      </c>
      <c r="HF66" s="23"/>
      <c r="HG66" s="23"/>
      <c r="HH66" s="23"/>
      <c r="HI66" s="23"/>
    </row>
    <row r="67" spans="1:217">
      <c r="A67" s="29" t="s">
        <v>87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44.865614579999999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-8.0109198880000001</v>
      </c>
      <c r="BS67" s="2">
        <v>28.877889186000001</v>
      </c>
      <c r="BT67" s="2">
        <v>0</v>
      </c>
      <c r="BU67" s="2">
        <v>0</v>
      </c>
      <c r="BV67" s="2">
        <v>0</v>
      </c>
      <c r="BW67" s="2">
        <v>10</v>
      </c>
      <c r="BX67" s="2">
        <v>0</v>
      </c>
      <c r="BY67" s="2">
        <v>0.99</v>
      </c>
      <c r="BZ67" s="2">
        <v>50</v>
      </c>
      <c r="CA67" s="2">
        <v>0</v>
      </c>
      <c r="CB67" s="2">
        <v>0.99</v>
      </c>
      <c r="CC67" s="2">
        <v>0</v>
      </c>
      <c r="CD67" s="2">
        <v>0.62172168799999994</v>
      </c>
      <c r="CE67" s="2">
        <v>0.75</v>
      </c>
      <c r="CF67" s="2">
        <v>2.75</v>
      </c>
      <c r="CG67" s="2">
        <v>0</v>
      </c>
      <c r="CH67" s="2">
        <v>0</v>
      </c>
      <c r="CI67" s="2">
        <v>0</v>
      </c>
      <c r="CJ67" s="2">
        <v>31</v>
      </c>
      <c r="CK67" s="2">
        <v>0</v>
      </c>
      <c r="CL67" s="2">
        <v>0</v>
      </c>
      <c r="CM67" s="2">
        <v>0</v>
      </c>
      <c r="CN67" s="2">
        <v>5</v>
      </c>
      <c r="CO67" s="2">
        <v>0</v>
      </c>
      <c r="CP67" s="2">
        <v>27.25</v>
      </c>
      <c r="CQ67" s="2">
        <v>4.6947600000000005</v>
      </c>
      <c r="CR67" s="2">
        <v>0.85109299999999999</v>
      </c>
      <c r="CS67" s="2">
        <v>5.65</v>
      </c>
      <c r="CT67" s="2">
        <v>0</v>
      </c>
      <c r="CU67" s="2">
        <v>0</v>
      </c>
      <c r="CV67" s="2">
        <v>18.994750086</v>
      </c>
      <c r="CW67" s="2">
        <v>0</v>
      </c>
      <c r="CX67" s="2">
        <v>2.8</v>
      </c>
      <c r="CY67" s="2">
        <v>41.856893249999999</v>
      </c>
      <c r="CZ67" s="2">
        <v>2.1503175000000003</v>
      </c>
      <c r="DA67" s="2">
        <v>12.563819039</v>
      </c>
      <c r="DB67" s="2">
        <v>2.8627938899999998</v>
      </c>
      <c r="DC67" s="2">
        <v>13.986439739</v>
      </c>
      <c r="DD67" s="2">
        <v>29.449232881</v>
      </c>
      <c r="DE67" s="2">
        <v>21.67447147</v>
      </c>
      <c r="DF67" s="2">
        <v>12.17942309</v>
      </c>
      <c r="DG67" s="2">
        <v>2.3920919999999999</v>
      </c>
      <c r="DH67" s="2">
        <v>41.933910675</v>
      </c>
      <c r="DI67" s="2">
        <v>8.5578768000000007</v>
      </c>
      <c r="DJ67" s="2">
        <v>17.318256242</v>
      </c>
      <c r="DK67" s="2">
        <v>8.3738789799999989</v>
      </c>
      <c r="DL67" s="2">
        <v>6.1627915800000004</v>
      </c>
      <c r="DM67" s="2">
        <v>10.586135689999999</v>
      </c>
      <c r="DN67" s="2">
        <v>11.760296739999999</v>
      </c>
      <c r="DO67" s="2">
        <v>83.490883046000008</v>
      </c>
      <c r="DP67" s="2">
        <v>104.97988944100001</v>
      </c>
      <c r="DQ67" s="2">
        <v>83.574161984</v>
      </c>
      <c r="DR67" s="2">
        <v>5.8118132200000003</v>
      </c>
      <c r="DS67" s="2">
        <v>58.817607055000003</v>
      </c>
      <c r="DT67" s="2">
        <v>16.886023602000002</v>
      </c>
      <c r="DU67" s="2">
        <v>20.052258303999999</v>
      </c>
      <c r="DV67" s="2">
        <v>6.7220163639999999</v>
      </c>
      <c r="DW67" s="2">
        <v>4.9882653000000001</v>
      </c>
      <c r="DX67" s="2">
        <v>7.6491119900000006</v>
      </c>
      <c r="DY67" s="2">
        <v>7.9976602799999998</v>
      </c>
      <c r="DZ67" s="2">
        <v>19.382724490000001</v>
      </c>
      <c r="EA67" s="2">
        <v>5.8577191199999996</v>
      </c>
      <c r="EB67" s="2">
        <v>15.32120868</v>
      </c>
      <c r="EC67" s="2">
        <v>17.773480299999999</v>
      </c>
      <c r="ED67" s="2">
        <v>0</v>
      </c>
      <c r="EE67" s="2">
        <v>0</v>
      </c>
      <c r="EF67" s="2">
        <v>2.6395600000000002E-2</v>
      </c>
      <c r="EG67" s="2">
        <v>1.2646980000000001</v>
      </c>
      <c r="EH67" s="2">
        <v>6.8805000000000005E-2</v>
      </c>
      <c r="EI67" s="2">
        <v>0</v>
      </c>
      <c r="EJ67" s="2">
        <v>11.792950864</v>
      </c>
      <c r="EK67" s="2">
        <v>2.780651089</v>
      </c>
      <c r="EL67" s="2">
        <v>4.8132103150000001</v>
      </c>
      <c r="EM67" s="2">
        <v>1.7789220430000001</v>
      </c>
      <c r="EN67" s="2">
        <v>21.820246270999998</v>
      </c>
      <c r="EO67" s="2">
        <v>75.522992407000004</v>
      </c>
      <c r="EP67" s="2">
        <v>9.7981040460000006</v>
      </c>
      <c r="EQ67" s="2">
        <v>3.0525900000000004</v>
      </c>
      <c r="ER67" s="2">
        <v>4.0756484259999999</v>
      </c>
      <c r="ES67" s="2">
        <v>3.4833716589999999</v>
      </c>
      <c r="ET67" s="2">
        <v>2.0425013139999999</v>
      </c>
      <c r="EU67" s="2">
        <v>1.3257540480000001</v>
      </c>
      <c r="EV67" s="2">
        <v>5.9082949289999993</v>
      </c>
      <c r="EW67" s="2">
        <v>2.2728129749999999</v>
      </c>
      <c r="EX67" s="2">
        <v>5.0307378799999993</v>
      </c>
      <c r="EY67" s="2">
        <v>4.248258409</v>
      </c>
      <c r="EZ67" s="2">
        <v>2.5201882919999998</v>
      </c>
      <c r="FA67" s="2">
        <v>9.0639443310000001</v>
      </c>
      <c r="FB67" s="2">
        <v>5.0110200000000003</v>
      </c>
      <c r="FC67" s="2">
        <v>0.53196679800000002</v>
      </c>
      <c r="FD67" s="2">
        <v>1.93479</v>
      </c>
      <c r="FE67" s="2">
        <v>1.6136075000000001</v>
      </c>
      <c r="FF67" s="2">
        <v>1.253258</v>
      </c>
      <c r="FG67" s="2">
        <v>5.0120640949999995</v>
      </c>
      <c r="FH67" s="2">
        <v>5.4139867229999998</v>
      </c>
      <c r="FI67" s="2">
        <v>1.7230392999999999</v>
      </c>
      <c r="FJ67" s="2">
        <v>2.1862170000000001</v>
      </c>
      <c r="FK67" s="2">
        <v>6.4175569999999995</v>
      </c>
      <c r="FL67" s="2">
        <v>2.972496</v>
      </c>
      <c r="FM67" s="2">
        <v>7.7194344090000007</v>
      </c>
      <c r="FN67" s="2">
        <v>3.0583979999999999</v>
      </c>
      <c r="FO67" s="2">
        <v>3.8293710000000001</v>
      </c>
      <c r="FP67" s="2">
        <v>2.7337220000000051</v>
      </c>
      <c r="FQ67" s="2">
        <v>1.389789999999999</v>
      </c>
      <c r="FR67" s="2">
        <v>2.1225619999999998</v>
      </c>
      <c r="FS67" s="2">
        <v>2.4425239840000001</v>
      </c>
      <c r="FT67" s="2">
        <v>4.1856523289999998</v>
      </c>
      <c r="FU67" s="2">
        <v>2.5920698550000014</v>
      </c>
      <c r="FV67" s="2">
        <v>2.3103989999999994</v>
      </c>
      <c r="FW67" s="2">
        <v>1.5648230360000015</v>
      </c>
      <c r="FX67" s="2">
        <v>2.7139400000000022</v>
      </c>
      <c r="FY67" s="2">
        <v>4.3636945760000092</v>
      </c>
      <c r="FZ67" s="2">
        <v>0.98080299999999987</v>
      </c>
      <c r="GA67" s="2">
        <v>0.34749619999999998</v>
      </c>
      <c r="GB67" s="22">
        <v>1.3766550000000006</v>
      </c>
      <c r="GC67" s="22">
        <v>3.403349</v>
      </c>
      <c r="GD67" s="22">
        <v>1.3873930000000001</v>
      </c>
      <c r="GE67" s="22">
        <v>2.1963949999999999</v>
      </c>
      <c r="GF67" s="22">
        <v>6.0586565510000003</v>
      </c>
      <c r="GG67" s="22">
        <v>6.1300188479999997</v>
      </c>
      <c r="GH67" s="22">
        <v>3.3621059999999998</v>
      </c>
      <c r="GI67" s="22">
        <v>2.8813800000000001</v>
      </c>
      <c r="GJ67" s="22">
        <v>3.4927752999999999</v>
      </c>
      <c r="GK67" s="22">
        <v>12.651961</v>
      </c>
      <c r="GL67" s="23">
        <v>3.3744400799999994</v>
      </c>
      <c r="GM67" s="23">
        <v>43.139714015999999</v>
      </c>
      <c r="GN67" s="23">
        <v>23.106098807999999</v>
      </c>
      <c r="GO67" s="23">
        <v>31.601087728000003</v>
      </c>
      <c r="GP67" s="23">
        <v>50.518685566999999</v>
      </c>
      <c r="GQ67" s="23">
        <v>28.280153954999999</v>
      </c>
      <c r="GR67" s="23">
        <v>23.104868915000001</v>
      </c>
      <c r="GS67" s="23">
        <v>52.924097393000004</v>
      </c>
      <c r="GT67" s="23">
        <v>34.514879100000009</v>
      </c>
      <c r="GU67" s="23">
        <v>64.205020652000002</v>
      </c>
      <c r="GV67" s="23">
        <v>59.299031407999998</v>
      </c>
      <c r="GW67" s="23">
        <v>52.265938745000007</v>
      </c>
      <c r="GX67" s="23">
        <v>22.478931315000001</v>
      </c>
      <c r="GY67" s="23">
        <v>27.097564800000001</v>
      </c>
      <c r="GZ67" s="23">
        <v>46.901405406999999</v>
      </c>
      <c r="HA67" s="23">
        <v>49.774045143000002</v>
      </c>
      <c r="HB67" s="23">
        <v>27.054628176999998</v>
      </c>
      <c r="HC67" s="23">
        <v>29.519857572999999</v>
      </c>
      <c r="HD67" s="23">
        <v>27.486033716000005</v>
      </c>
      <c r="HE67" s="23">
        <v>29.875429959000002</v>
      </c>
      <c r="HF67" s="23"/>
      <c r="HG67" s="23"/>
      <c r="HH67" s="23"/>
      <c r="HI67" s="23"/>
    </row>
    <row r="68" spans="1:217">
      <c r="A68" s="29" t="s">
        <v>88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43.624000000000002</v>
      </c>
      <c r="BG68" s="2">
        <v>6.2320000000000002</v>
      </c>
      <c r="BH68" s="2">
        <v>1.8440000000000001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47.8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30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30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50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21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7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2">
        <v>0</v>
      </c>
      <c r="GC68" s="22">
        <v>0</v>
      </c>
      <c r="GD68" s="22">
        <v>0</v>
      </c>
      <c r="GE68" s="22">
        <v>0</v>
      </c>
      <c r="GF68" s="22">
        <v>0</v>
      </c>
      <c r="GG68" s="22">
        <v>0</v>
      </c>
      <c r="GH68" s="22">
        <v>0</v>
      </c>
      <c r="GI68" s="22">
        <v>0</v>
      </c>
      <c r="GJ68" s="22">
        <v>0</v>
      </c>
      <c r="GK68" s="22">
        <v>0</v>
      </c>
      <c r="GL68" s="23">
        <v>0</v>
      </c>
      <c r="GM68" s="23">
        <v>0</v>
      </c>
      <c r="GN68" s="23">
        <v>0</v>
      </c>
      <c r="GO68" s="23">
        <v>0</v>
      </c>
      <c r="GP68" s="23">
        <v>0</v>
      </c>
      <c r="GQ68" s="23">
        <v>0</v>
      </c>
      <c r="GR68" s="23">
        <v>0</v>
      </c>
      <c r="GS68" s="23">
        <v>0</v>
      </c>
      <c r="GT68" s="23">
        <v>0</v>
      </c>
      <c r="GU68" s="23">
        <v>0</v>
      </c>
      <c r="GV68" s="23">
        <v>0</v>
      </c>
      <c r="GW68" s="23">
        <v>0</v>
      </c>
      <c r="GX68" s="23">
        <v>0</v>
      </c>
      <c r="GY68" s="23">
        <v>0</v>
      </c>
      <c r="GZ68" s="23">
        <v>0</v>
      </c>
      <c r="HA68" s="23">
        <v>0</v>
      </c>
      <c r="HB68" s="23">
        <v>0</v>
      </c>
      <c r="HC68" s="23">
        <v>0</v>
      </c>
      <c r="HD68" s="23">
        <v>0</v>
      </c>
      <c r="HE68" s="23">
        <v>0</v>
      </c>
      <c r="HF68" s="23"/>
      <c r="HG68" s="23"/>
      <c r="HH68" s="23"/>
      <c r="HI68" s="23"/>
    </row>
    <row r="69" spans="1:217">
      <c r="A69" s="29" t="s">
        <v>89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13.834130232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106.28909934699999</v>
      </c>
      <c r="DQ69" s="2">
        <v>11.545076785999999</v>
      </c>
      <c r="DR69" s="2">
        <v>25.911969455999998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3.033443117</v>
      </c>
      <c r="ER69" s="2">
        <v>3.249679376</v>
      </c>
      <c r="ES69" s="2">
        <v>15.014370345</v>
      </c>
      <c r="ET69" s="2">
        <v>116.757471916</v>
      </c>
      <c r="EU69" s="2">
        <v>2.8146390449999998</v>
      </c>
      <c r="EV69" s="2">
        <v>26.625734205000001</v>
      </c>
      <c r="EW69" s="2">
        <v>3.0812749689999999</v>
      </c>
      <c r="EX69" s="2">
        <v>0</v>
      </c>
      <c r="EY69" s="2">
        <v>15.385660421000001</v>
      </c>
      <c r="EZ69" s="2">
        <v>5.8180554879999997</v>
      </c>
      <c r="FA69" s="2">
        <v>1.729604564</v>
      </c>
      <c r="FB69" s="2">
        <v>0</v>
      </c>
      <c r="FC69" s="2">
        <v>0</v>
      </c>
      <c r="FD69" s="2">
        <v>26.954262491000001</v>
      </c>
      <c r="FE69" s="2">
        <v>3.5562596060000002</v>
      </c>
      <c r="FF69" s="2">
        <v>37.263294345000006</v>
      </c>
      <c r="FG69" s="2">
        <v>87.557471105000005</v>
      </c>
      <c r="FH69" s="2">
        <v>47.141692145</v>
      </c>
      <c r="FI69" s="2">
        <v>42</v>
      </c>
      <c r="FJ69" s="2">
        <v>42</v>
      </c>
      <c r="FK69" s="2">
        <v>63.006992304999997</v>
      </c>
      <c r="FL69" s="2">
        <v>3.0820437639999998</v>
      </c>
      <c r="FM69" s="2">
        <v>33.037304002999996</v>
      </c>
      <c r="FN69" s="2">
        <v>0</v>
      </c>
      <c r="FO69" s="2">
        <v>0</v>
      </c>
      <c r="FP69" s="2">
        <v>21.90351575</v>
      </c>
      <c r="FQ69" s="2">
        <v>0</v>
      </c>
      <c r="FR69" s="2">
        <v>189.82880636900001</v>
      </c>
      <c r="FS69" s="2">
        <v>0</v>
      </c>
      <c r="FT69" s="2">
        <v>111.557067557</v>
      </c>
      <c r="FU69" s="2">
        <v>10.291164058</v>
      </c>
      <c r="FV69" s="2">
        <v>0</v>
      </c>
      <c r="FW69" s="2">
        <v>132.36746101200001</v>
      </c>
      <c r="FX69" s="2">
        <v>0</v>
      </c>
      <c r="FY69" s="2">
        <v>202.71944162600002</v>
      </c>
      <c r="FZ69" s="2">
        <v>0</v>
      </c>
      <c r="GA69" s="2">
        <v>0</v>
      </c>
      <c r="GB69" s="22">
        <v>22.273110059</v>
      </c>
      <c r="GC69" s="22">
        <v>222.70822265499999</v>
      </c>
      <c r="GD69" s="22">
        <v>110.44000856299999</v>
      </c>
      <c r="GE69" s="22">
        <v>110.40821133999999</v>
      </c>
      <c r="GF69" s="22">
        <v>0</v>
      </c>
      <c r="GG69" s="22">
        <v>21.908998108999999</v>
      </c>
      <c r="GH69" s="22">
        <v>67.361774881000002</v>
      </c>
      <c r="GI69" s="22">
        <v>19.132076911999999</v>
      </c>
      <c r="GJ69" s="22">
        <v>0</v>
      </c>
      <c r="GK69" s="22">
        <v>4.9732858139999996</v>
      </c>
      <c r="GL69" s="23">
        <v>0</v>
      </c>
      <c r="GM69" s="23">
        <v>0</v>
      </c>
      <c r="GN69" s="23">
        <v>125.27342136199999</v>
      </c>
      <c r="GO69" s="23">
        <v>100.159538889</v>
      </c>
      <c r="GP69" s="23">
        <v>100</v>
      </c>
      <c r="GQ69" s="23">
        <v>0</v>
      </c>
      <c r="GR69" s="23">
        <v>100</v>
      </c>
      <c r="GS69" s="23">
        <v>0</v>
      </c>
      <c r="GT69" s="23">
        <v>54.715297526000001</v>
      </c>
      <c r="GU69" s="23">
        <v>0</v>
      </c>
      <c r="GV69" s="23">
        <v>0</v>
      </c>
      <c r="GW69" s="23">
        <v>0</v>
      </c>
      <c r="GX69" s="23">
        <v>0</v>
      </c>
      <c r="GY69" s="23">
        <v>0</v>
      </c>
      <c r="GZ69" s="23">
        <v>0</v>
      </c>
      <c r="HA69" s="23">
        <v>0</v>
      </c>
      <c r="HB69" s="23">
        <v>0</v>
      </c>
      <c r="HC69" s="23">
        <v>0</v>
      </c>
      <c r="HD69" s="23">
        <v>325.432960251</v>
      </c>
      <c r="HE69" s="23">
        <v>-9.9999999999999986E-10</v>
      </c>
      <c r="HF69" s="23"/>
      <c r="HG69" s="23"/>
      <c r="HH69" s="23"/>
      <c r="HI69" s="23"/>
    </row>
    <row r="70" spans="1:217" ht="7.5" customHeight="1">
      <c r="A70" s="29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</row>
    <row r="71" spans="1:217">
      <c r="A71" s="51" t="s">
        <v>90</v>
      </c>
      <c r="B71" s="52">
        <v>15.783377944000051</v>
      </c>
      <c r="C71" s="52">
        <v>42.545816205999984</v>
      </c>
      <c r="D71" s="52">
        <v>8.9527800930001149</v>
      </c>
      <c r="E71" s="52">
        <v>134.28061547099998</v>
      </c>
      <c r="F71" s="52">
        <v>60.907483412000033</v>
      </c>
      <c r="G71" s="52">
        <v>-37.784130452999932</v>
      </c>
      <c r="H71" s="52">
        <v>23.414039611000021</v>
      </c>
      <c r="I71" s="52">
        <v>162.47601130100009</v>
      </c>
      <c r="J71" s="52">
        <v>170.39367239300009</v>
      </c>
      <c r="K71" s="52">
        <v>147.96091364599999</v>
      </c>
      <c r="L71" s="52">
        <v>126.85043426400011</v>
      </c>
      <c r="M71" s="52">
        <v>24.555441017999783</v>
      </c>
      <c r="N71" s="52">
        <v>48.796714475000044</v>
      </c>
      <c r="O71" s="52">
        <v>115.54111342500011</v>
      </c>
      <c r="P71" s="52">
        <v>200.999142156</v>
      </c>
      <c r="Q71" s="52">
        <v>213.13607742600004</v>
      </c>
      <c r="R71" s="52">
        <v>321.94679265800016</v>
      </c>
      <c r="S71" s="52">
        <v>215.07232486000004</v>
      </c>
      <c r="T71" s="52">
        <v>208.34560100899989</v>
      </c>
      <c r="U71" s="52">
        <v>169.14628040199995</v>
      </c>
      <c r="V71" s="52">
        <v>299.48272692200015</v>
      </c>
      <c r="W71" s="52">
        <v>107.94746149799983</v>
      </c>
      <c r="X71" s="52">
        <v>242.4826057329999</v>
      </c>
      <c r="Y71" s="52">
        <v>-124.71339062599998</v>
      </c>
      <c r="Z71" s="52">
        <v>170.665866177</v>
      </c>
      <c r="AA71" s="52">
        <v>96.418699437999919</v>
      </c>
      <c r="AB71" s="52">
        <v>269.28062396899992</v>
      </c>
      <c r="AC71" s="52">
        <v>207.36954524099986</v>
      </c>
      <c r="AD71" s="52">
        <v>161.33192979599994</v>
      </c>
      <c r="AE71" s="52">
        <v>170.36421945199993</v>
      </c>
      <c r="AF71" s="52">
        <v>99.217469422000022</v>
      </c>
      <c r="AG71" s="52">
        <v>211.42273237300014</v>
      </c>
      <c r="AH71" s="52">
        <v>158.73568443999989</v>
      </c>
      <c r="AI71" s="52">
        <v>178.74332124699981</v>
      </c>
      <c r="AJ71" s="52">
        <v>145.48892786199985</v>
      </c>
      <c r="AK71" s="52">
        <v>-89.787032829999703</v>
      </c>
      <c r="AL71" s="52">
        <v>288.93383803199981</v>
      </c>
      <c r="AM71" s="52">
        <v>216.47521526400016</v>
      </c>
      <c r="AN71" s="52">
        <v>202.04857107400017</v>
      </c>
      <c r="AO71" s="52">
        <v>315.45213660500008</v>
      </c>
      <c r="AP71" s="52">
        <v>276.74011730699999</v>
      </c>
      <c r="AQ71" s="52">
        <v>103.32371976000024</v>
      </c>
      <c r="AR71" s="52">
        <v>123.26172888500003</v>
      </c>
      <c r="AS71" s="52">
        <v>157.66350389199999</v>
      </c>
      <c r="AT71" s="52">
        <v>320.58350152000003</v>
      </c>
      <c r="AU71" s="52">
        <v>191.42199672699996</v>
      </c>
      <c r="AV71" s="52">
        <v>215.69508098400001</v>
      </c>
      <c r="AW71" s="52">
        <v>-496.35092833400029</v>
      </c>
      <c r="AX71" s="52">
        <v>243.277990585</v>
      </c>
      <c r="AY71" s="52">
        <v>71.646295335999866</v>
      </c>
      <c r="AZ71" s="52">
        <v>426.27081325600011</v>
      </c>
      <c r="BA71" s="52">
        <v>277.73752886199998</v>
      </c>
      <c r="BB71" s="52">
        <v>408.02677061700012</v>
      </c>
      <c r="BC71" s="52">
        <v>142.34065765699995</v>
      </c>
      <c r="BD71" s="52">
        <v>166.48500058400009</v>
      </c>
      <c r="BE71" s="52">
        <v>240.51721128200006</v>
      </c>
      <c r="BF71" s="52">
        <v>99.221946491999915</v>
      </c>
      <c r="BG71" s="52">
        <v>229.74718761300005</v>
      </c>
      <c r="BH71" s="52">
        <v>231.41711748099999</v>
      </c>
      <c r="BI71" s="52">
        <v>-308.6700243409997</v>
      </c>
      <c r="BJ71" s="52">
        <v>423.27529287699997</v>
      </c>
      <c r="BK71" s="52">
        <v>330.12778941600004</v>
      </c>
      <c r="BL71" s="52">
        <v>145.12072089899982</v>
      </c>
      <c r="BM71" s="52">
        <v>247.12763512499987</v>
      </c>
      <c r="BN71" s="52">
        <v>510.64587886200025</v>
      </c>
      <c r="BO71" s="52">
        <v>225.14000813699988</v>
      </c>
      <c r="BP71" s="52">
        <v>277.65842344099997</v>
      </c>
      <c r="BQ71" s="52">
        <v>267.96440847899999</v>
      </c>
      <c r="BR71" s="52">
        <v>306.62360301100011</v>
      </c>
      <c r="BS71" s="52">
        <v>218.15571879499998</v>
      </c>
      <c r="BT71" s="52">
        <v>386.76939145500012</v>
      </c>
      <c r="BU71" s="52">
        <v>-299.31921091099957</v>
      </c>
      <c r="BV71" s="52">
        <v>295.94314998599998</v>
      </c>
      <c r="BW71" s="52">
        <v>190.24283532200002</v>
      </c>
      <c r="BX71" s="52">
        <v>74.171681642000067</v>
      </c>
      <c r="BY71" s="52">
        <v>483.61956821800027</v>
      </c>
      <c r="BZ71" s="52">
        <v>285.16422073299975</v>
      </c>
      <c r="CA71" s="52">
        <v>87.13152245900028</v>
      </c>
      <c r="CB71" s="52">
        <v>391.73311627100009</v>
      </c>
      <c r="CC71" s="52">
        <v>170.48213709899983</v>
      </c>
      <c r="CD71" s="52">
        <v>246.95385365599986</v>
      </c>
      <c r="CE71" s="52">
        <v>90.534499136999898</v>
      </c>
      <c r="CF71" s="52">
        <v>405.53780196699984</v>
      </c>
      <c r="CG71" s="52">
        <v>-552.67914441400012</v>
      </c>
      <c r="CH71" s="52">
        <v>331.99148890499998</v>
      </c>
      <c r="CI71" s="52">
        <v>317.36215711599993</v>
      </c>
      <c r="CJ71" s="52">
        <v>143.28812450500004</v>
      </c>
      <c r="CK71" s="52">
        <v>324.10959655500005</v>
      </c>
      <c r="CL71" s="52">
        <v>631.60986663600022</v>
      </c>
      <c r="CM71" s="52">
        <v>214.55235605800021</v>
      </c>
      <c r="CN71" s="52">
        <v>382.07143752999968</v>
      </c>
      <c r="CO71" s="52">
        <v>205.00264848300003</v>
      </c>
      <c r="CP71" s="52">
        <v>396.75728879599967</v>
      </c>
      <c r="CQ71" s="52">
        <v>406.67829421900046</v>
      </c>
      <c r="CR71" s="52">
        <v>467.14695049699981</v>
      </c>
      <c r="CS71" s="52">
        <v>-302.95112069000015</v>
      </c>
      <c r="CT71" s="52">
        <v>506.11849961500002</v>
      </c>
      <c r="CU71" s="52">
        <v>466.46891552900001</v>
      </c>
      <c r="CV71" s="52">
        <v>132.03724922999959</v>
      </c>
      <c r="CW71" s="52">
        <v>341.48343478499964</v>
      </c>
      <c r="CX71" s="52">
        <v>567.93862318499941</v>
      </c>
      <c r="CY71" s="52">
        <v>206.96477427000013</v>
      </c>
      <c r="CZ71" s="52">
        <v>608.30929458000037</v>
      </c>
      <c r="DA71" s="52">
        <v>67.671184710999796</v>
      </c>
      <c r="DB71" s="52">
        <v>475.27920038699972</v>
      </c>
      <c r="DC71" s="52">
        <v>565.34436728100013</v>
      </c>
      <c r="DD71" s="52">
        <v>516.19066104699937</v>
      </c>
      <c r="DE71" s="52">
        <v>-945.80242889099964</v>
      </c>
      <c r="DF71" s="52">
        <v>583.37352637399988</v>
      </c>
      <c r="DG71" s="52">
        <v>29.429151596000338</v>
      </c>
      <c r="DH71" s="52">
        <v>-22.214511838000135</v>
      </c>
      <c r="DI71" s="52">
        <v>115.08397381299983</v>
      </c>
      <c r="DJ71" s="52">
        <v>463.93035124300036</v>
      </c>
      <c r="DK71" s="52">
        <v>58.065598736999846</v>
      </c>
      <c r="DL71" s="52">
        <v>365.90675733699982</v>
      </c>
      <c r="DM71" s="52">
        <v>104.06661209100048</v>
      </c>
      <c r="DN71" s="52">
        <v>518.95510895400002</v>
      </c>
      <c r="DO71" s="52">
        <v>31.415991636999479</v>
      </c>
      <c r="DP71" s="52">
        <v>-191.41606942299995</v>
      </c>
      <c r="DQ71" s="52">
        <v>-988.87738257000024</v>
      </c>
      <c r="DR71" s="52">
        <v>102.57712015999959</v>
      </c>
      <c r="DS71" s="52">
        <v>-257.08448427099961</v>
      </c>
      <c r="DT71" s="52">
        <v>-0.80667762199959725</v>
      </c>
      <c r="DU71" s="52">
        <v>370.98387478099994</v>
      </c>
      <c r="DV71" s="52">
        <v>374.40193664700041</v>
      </c>
      <c r="DW71" s="52">
        <v>49.67342824599973</v>
      </c>
      <c r="DX71" s="52">
        <v>330.09039623399963</v>
      </c>
      <c r="DY71" s="52">
        <v>77.163886823000212</v>
      </c>
      <c r="DZ71" s="52">
        <v>293.94800097600023</v>
      </c>
      <c r="EA71" s="52">
        <v>121.65505538399998</v>
      </c>
      <c r="EB71" s="52">
        <v>345.97518880900043</v>
      </c>
      <c r="EC71" s="52">
        <v>-994.78615017899892</v>
      </c>
      <c r="ED71" s="52">
        <v>329.93802272400012</v>
      </c>
      <c r="EE71" s="52">
        <v>66.92211654699986</v>
      </c>
      <c r="EF71" s="52">
        <v>-54.107020741000042</v>
      </c>
      <c r="EG71" s="52">
        <v>296.45134869300023</v>
      </c>
      <c r="EH71" s="52">
        <v>969.44717680099961</v>
      </c>
      <c r="EI71" s="52">
        <v>-234.42189471100028</v>
      </c>
      <c r="EJ71" s="52">
        <v>403.80591832899995</v>
      </c>
      <c r="EK71" s="52">
        <v>-218.40160719999972</v>
      </c>
      <c r="EL71" s="52">
        <v>460.25758444999974</v>
      </c>
      <c r="EM71" s="52">
        <v>196.50665855899979</v>
      </c>
      <c r="EN71" s="52">
        <v>100.35363923799991</v>
      </c>
      <c r="EO71" s="52">
        <v>-554.51774119500033</v>
      </c>
      <c r="EP71" s="52">
        <v>287.00897850399997</v>
      </c>
      <c r="EQ71" s="52">
        <v>-100.66280767300009</v>
      </c>
      <c r="ER71" s="52">
        <v>-76.270327599000211</v>
      </c>
      <c r="ES71" s="52">
        <v>296.31061754100051</v>
      </c>
      <c r="ET71" s="52">
        <v>631.79785725100032</v>
      </c>
      <c r="EU71" s="52">
        <v>66.76290568100012</v>
      </c>
      <c r="EV71" s="52">
        <v>-100.53875845200082</v>
      </c>
      <c r="EW71" s="52">
        <v>-216.02343204900012</v>
      </c>
      <c r="EX71" s="52">
        <v>142.94159712300007</v>
      </c>
      <c r="EY71" s="52">
        <v>208.87271266400012</v>
      </c>
      <c r="EZ71" s="52">
        <v>394.88062287999992</v>
      </c>
      <c r="FA71" s="52">
        <v>-309.01248786900078</v>
      </c>
      <c r="FB71" s="52">
        <v>139.86193582100009</v>
      </c>
      <c r="FC71" s="52">
        <v>85.947008761000234</v>
      </c>
      <c r="FD71" s="52">
        <v>-133.58218254100029</v>
      </c>
      <c r="FE71" s="52">
        <v>380.41137965999997</v>
      </c>
      <c r="FF71" s="52">
        <v>414.21880278400022</v>
      </c>
      <c r="FG71" s="52">
        <v>104.82294602500019</v>
      </c>
      <c r="FH71" s="52">
        <v>14.376618457999939</v>
      </c>
      <c r="FI71" s="52">
        <v>588.67994322100026</v>
      </c>
      <c r="FJ71" s="52">
        <v>472.34653144599997</v>
      </c>
      <c r="FK71" s="52">
        <v>18.562269131999983</v>
      </c>
      <c r="FL71" s="52">
        <v>742.6426739889996</v>
      </c>
      <c r="FM71" s="52">
        <v>-540.45582404799961</v>
      </c>
      <c r="FN71" s="52">
        <v>-81.851718984000854</v>
      </c>
      <c r="FO71" s="52">
        <v>219.8914036499998</v>
      </c>
      <c r="FP71" s="52">
        <v>219.76033203099996</v>
      </c>
      <c r="FQ71" s="52">
        <v>139.70252201099993</v>
      </c>
      <c r="FR71" s="52">
        <v>643.32468930300001</v>
      </c>
      <c r="FS71" s="52">
        <v>163.69451245000027</v>
      </c>
      <c r="FT71" s="52">
        <v>453.01621774999967</v>
      </c>
      <c r="FU71" s="52">
        <v>374.45028392499989</v>
      </c>
      <c r="FV71" s="52">
        <v>648.97949154700063</v>
      </c>
      <c r="FW71" s="52">
        <v>61.323535758000617</v>
      </c>
      <c r="FX71" s="52">
        <v>527.38668639400021</v>
      </c>
      <c r="FY71" s="52">
        <v>-419.09478021900077</v>
      </c>
      <c r="FZ71" s="52">
        <v>545.52885907999985</v>
      </c>
      <c r="GA71" s="52">
        <v>-652.70116340100003</v>
      </c>
      <c r="GB71" s="22">
        <v>-175.57707256699996</v>
      </c>
      <c r="GC71" s="22">
        <v>694.74869161900006</v>
      </c>
      <c r="GD71" s="22">
        <v>588.61229293999986</v>
      </c>
      <c r="GE71" s="22">
        <v>94.003783499999827</v>
      </c>
      <c r="GF71" s="22">
        <v>536.04134802499993</v>
      </c>
      <c r="GG71" s="22">
        <v>116.43722480999986</v>
      </c>
      <c r="GH71" s="22">
        <v>492.47524791100068</v>
      </c>
      <c r="GI71" s="22">
        <v>134.84068619100026</v>
      </c>
      <c r="GJ71" s="22">
        <v>572.79424906399981</v>
      </c>
      <c r="GK71" s="22">
        <v>-1236.3779753469998</v>
      </c>
      <c r="GL71" s="23">
        <v>501.90282405899961</v>
      </c>
      <c r="GM71" s="23">
        <v>19.828800564000176</v>
      </c>
      <c r="GN71" s="23">
        <v>-356.8574746739996</v>
      </c>
      <c r="GO71" s="23">
        <v>423.53369032599994</v>
      </c>
      <c r="GP71" s="23">
        <v>181.43697513400048</v>
      </c>
      <c r="GQ71" s="23">
        <v>21.427129755999886</v>
      </c>
      <c r="GR71" s="23">
        <v>409.59291056300071</v>
      </c>
      <c r="GS71" s="23">
        <v>-256.80335794400116</v>
      </c>
      <c r="GT71" s="23">
        <v>193.90973091399974</v>
      </c>
      <c r="GU71" s="23">
        <v>183.07059525400064</v>
      </c>
      <c r="GV71" s="23">
        <v>429.53960034699958</v>
      </c>
      <c r="GW71" s="23">
        <v>-1446.6084338290002</v>
      </c>
      <c r="GX71" s="23">
        <v>122.85454824699991</v>
      </c>
      <c r="GY71" s="23">
        <v>93.400280959000611</v>
      </c>
      <c r="GZ71" s="23">
        <v>-496.41882633700016</v>
      </c>
      <c r="HA71" s="23">
        <v>-1734.4812734090006</v>
      </c>
      <c r="HB71" s="23">
        <v>-664.55776934599999</v>
      </c>
      <c r="HC71" s="23">
        <v>-214.7344359119993</v>
      </c>
      <c r="HD71" s="23">
        <v>-281.75379703399949</v>
      </c>
      <c r="HE71" s="23">
        <v>-275.05882917199961</v>
      </c>
      <c r="HF71" s="23"/>
      <c r="HG71" s="23"/>
      <c r="HH71" s="23"/>
      <c r="HI71" s="23"/>
    </row>
    <row r="72" spans="1:217" ht="7.5" customHeight="1">
      <c r="A72" s="36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</row>
    <row r="73" spans="1:217" s="26" customFormat="1" ht="6.75" customHeight="1">
      <c r="A73" s="53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</row>
    <row r="74" spans="1:217" s="32" customFormat="1" ht="14.25">
      <c r="A74" s="26" t="s">
        <v>91</v>
      </c>
      <c r="B74" s="27">
        <v>25.762257559999998</v>
      </c>
      <c r="C74" s="27">
        <v>22.020817347999998</v>
      </c>
      <c r="D74" s="27">
        <v>52.647348098000002</v>
      </c>
      <c r="E74" s="27">
        <v>82.581996313999994</v>
      </c>
      <c r="F74" s="27">
        <v>86.711182594000007</v>
      </c>
      <c r="G74" s="27">
        <v>102.51793323</v>
      </c>
      <c r="H74" s="27">
        <v>82.56241722499999</v>
      </c>
      <c r="I74" s="27">
        <v>76.230442921999995</v>
      </c>
      <c r="J74" s="27">
        <v>92.479634864000005</v>
      </c>
      <c r="K74" s="27">
        <v>87.845204384000013</v>
      </c>
      <c r="L74" s="27">
        <v>145.64577971900002</v>
      </c>
      <c r="M74" s="27">
        <v>257.67363286199998</v>
      </c>
      <c r="N74" s="27">
        <v>0.91441225199999998</v>
      </c>
      <c r="O74" s="27">
        <v>18.582643844000003</v>
      </c>
      <c r="P74" s="27">
        <v>99.688232505000002</v>
      </c>
      <c r="Q74" s="27">
        <v>78.605806612999984</v>
      </c>
      <c r="R74" s="27">
        <v>83.450154077000008</v>
      </c>
      <c r="S74" s="27">
        <v>68.933521579000001</v>
      </c>
      <c r="T74" s="27">
        <v>90.933246396999991</v>
      </c>
      <c r="U74" s="27">
        <v>93.169307935999996</v>
      </c>
      <c r="V74" s="27">
        <v>75.838940563999998</v>
      </c>
      <c r="W74" s="27">
        <v>253.47726556100002</v>
      </c>
      <c r="X74" s="27">
        <v>220.77985035200001</v>
      </c>
      <c r="Y74" s="27">
        <v>304.497843999</v>
      </c>
      <c r="Z74" s="27">
        <v>30.764703222999998</v>
      </c>
      <c r="AA74" s="27">
        <v>30.007674707</v>
      </c>
      <c r="AB74" s="27">
        <v>79.038684711999991</v>
      </c>
      <c r="AC74" s="27">
        <v>67.601833455999994</v>
      </c>
      <c r="AD74" s="27">
        <v>92.035440808000004</v>
      </c>
      <c r="AE74" s="27">
        <v>97.766598755000018</v>
      </c>
      <c r="AF74" s="27">
        <v>129.728740303</v>
      </c>
      <c r="AG74" s="27">
        <v>132.63446139200002</v>
      </c>
      <c r="AH74" s="27">
        <v>98.209037800000004</v>
      </c>
      <c r="AI74" s="27">
        <v>98.620466428</v>
      </c>
      <c r="AJ74" s="27">
        <v>244.30488539699996</v>
      </c>
      <c r="AK74" s="27">
        <v>348.215785568</v>
      </c>
      <c r="AL74" s="27">
        <v>11.755874277999999</v>
      </c>
      <c r="AM74" s="27">
        <v>29.162966730999997</v>
      </c>
      <c r="AN74" s="27">
        <v>162.735234835</v>
      </c>
      <c r="AO74" s="27">
        <v>78.689051735000007</v>
      </c>
      <c r="AP74" s="27">
        <v>115.10552462699999</v>
      </c>
      <c r="AQ74" s="27">
        <v>149.47943605600003</v>
      </c>
      <c r="AR74" s="27">
        <v>91.870387643000001</v>
      </c>
      <c r="AS74" s="27">
        <v>114.60547796100001</v>
      </c>
      <c r="AT74" s="27">
        <v>123.274417554</v>
      </c>
      <c r="AU74" s="27">
        <v>155.807526182</v>
      </c>
      <c r="AV74" s="27">
        <v>197.40265225100001</v>
      </c>
      <c r="AW74" s="27">
        <v>348.85451118799995</v>
      </c>
      <c r="AX74" s="27">
        <v>84.449454943000006</v>
      </c>
      <c r="AY74" s="27">
        <v>16.131228775</v>
      </c>
      <c r="AZ74" s="27">
        <v>88.820084886000004</v>
      </c>
      <c r="BA74" s="27">
        <v>80.073086495999988</v>
      </c>
      <c r="BB74" s="27">
        <v>141.924057713</v>
      </c>
      <c r="BC74" s="27">
        <v>88.465620295999997</v>
      </c>
      <c r="BD74" s="27">
        <v>113.70690855399999</v>
      </c>
      <c r="BE74" s="27">
        <v>128.139256053</v>
      </c>
      <c r="BF74" s="27">
        <v>140.114679951</v>
      </c>
      <c r="BG74" s="27">
        <v>131.00804793500001</v>
      </c>
      <c r="BH74" s="27">
        <v>166.76740225399999</v>
      </c>
      <c r="BI74" s="27">
        <v>348.00036732199999</v>
      </c>
      <c r="BJ74" s="27">
        <v>23.030523555999999</v>
      </c>
      <c r="BK74" s="27">
        <v>31.266086548999997</v>
      </c>
      <c r="BL74" s="27">
        <v>53.593922126999999</v>
      </c>
      <c r="BM74" s="27">
        <v>100.10283615999998</v>
      </c>
      <c r="BN74" s="27">
        <v>128.320563443</v>
      </c>
      <c r="BO74" s="27">
        <v>76.133217696000017</v>
      </c>
      <c r="BP74" s="27">
        <v>141.69952347999998</v>
      </c>
      <c r="BQ74" s="27">
        <v>109.06892762299998</v>
      </c>
      <c r="BR74" s="27">
        <v>53.162851089</v>
      </c>
      <c r="BS74" s="27">
        <v>85.901997723000008</v>
      </c>
      <c r="BT74" s="27">
        <v>161.28281733100005</v>
      </c>
      <c r="BU74" s="27">
        <v>283.39011580400006</v>
      </c>
      <c r="BV74" s="27">
        <v>2.4334052349999995</v>
      </c>
      <c r="BW74" s="27">
        <v>39.361891436999997</v>
      </c>
      <c r="BX74" s="27">
        <v>158.92890780900001</v>
      </c>
      <c r="BY74" s="27">
        <v>116.13020943800002</v>
      </c>
      <c r="BZ74" s="27">
        <v>127.62713335800001</v>
      </c>
      <c r="CA74" s="27">
        <v>129.024681614</v>
      </c>
      <c r="CB74" s="27">
        <v>117.24399944999999</v>
      </c>
      <c r="CC74" s="27">
        <v>179.89636810000002</v>
      </c>
      <c r="CD74" s="27">
        <v>276.42658779599998</v>
      </c>
      <c r="CE74" s="27">
        <v>222.670541262</v>
      </c>
      <c r="CF74" s="27">
        <v>220.98430591399998</v>
      </c>
      <c r="CG74" s="27">
        <v>484.29171089399995</v>
      </c>
      <c r="CH74" s="27">
        <v>26.404467097999998</v>
      </c>
      <c r="CI74" s="27">
        <v>160.07253134299998</v>
      </c>
      <c r="CJ74" s="27">
        <v>93.985145602999992</v>
      </c>
      <c r="CK74" s="27">
        <v>129.139390975</v>
      </c>
      <c r="CL74" s="27">
        <v>139.663017612</v>
      </c>
      <c r="CM74" s="27">
        <v>146.85220017099999</v>
      </c>
      <c r="CN74" s="27">
        <v>117.58548041299998</v>
      </c>
      <c r="CO74" s="27">
        <v>165.840449124</v>
      </c>
      <c r="CP74" s="27">
        <v>192.467079993</v>
      </c>
      <c r="CQ74" s="27">
        <v>202.73093912600004</v>
      </c>
      <c r="CR74" s="27">
        <v>283.63779865899994</v>
      </c>
      <c r="CS74" s="27">
        <v>608.14461881000011</v>
      </c>
      <c r="CT74" s="27">
        <v>38.999830975999998</v>
      </c>
      <c r="CU74" s="27">
        <v>88.52373468799999</v>
      </c>
      <c r="CV74" s="27">
        <v>151.87738189800001</v>
      </c>
      <c r="CW74" s="27">
        <v>112.804719017</v>
      </c>
      <c r="CX74" s="27">
        <v>221.02686007799997</v>
      </c>
      <c r="CY74" s="27">
        <v>104.63789867200001</v>
      </c>
      <c r="CZ74" s="27">
        <v>124.68399351199999</v>
      </c>
      <c r="DA74" s="27">
        <v>159.22681224999999</v>
      </c>
      <c r="DB74" s="27">
        <v>159.86334444100001</v>
      </c>
      <c r="DC74" s="27">
        <v>214.47531162999999</v>
      </c>
      <c r="DD74" s="27">
        <v>341.19722061900001</v>
      </c>
      <c r="DE74" s="27">
        <v>736.63733869899988</v>
      </c>
      <c r="DF74" s="27">
        <v>27.989961966999999</v>
      </c>
      <c r="DG74" s="27">
        <v>57.612822135000002</v>
      </c>
      <c r="DH74" s="27">
        <v>168.07183158500001</v>
      </c>
      <c r="DI74" s="27">
        <v>193.54750977899999</v>
      </c>
      <c r="DJ74" s="27">
        <v>161.72192180099998</v>
      </c>
      <c r="DK74" s="27">
        <v>143.86700422900003</v>
      </c>
      <c r="DL74" s="27">
        <v>244.86899949600001</v>
      </c>
      <c r="DM74" s="27">
        <v>226.32655082999995</v>
      </c>
      <c r="DN74" s="27">
        <v>179.081099765</v>
      </c>
      <c r="DO74" s="27">
        <v>154.06207348399997</v>
      </c>
      <c r="DP74" s="27">
        <v>643.89407579099986</v>
      </c>
      <c r="DQ74" s="27">
        <v>680.88847224800008</v>
      </c>
      <c r="DR74" s="27">
        <v>278.946520013</v>
      </c>
      <c r="DS74" s="27">
        <v>144.478443113</v>
      </c>
      <c r="DT74" s="27">
        <v>219.56495972499999</v>
      </c>
      <c r="DU74" s="27">
        <v>164.258968173</v>
      </c>
      <c r="DV74" s="27">
        <v>177.41678485099999</v>
      </c>
      <c r="DW74" s="27">
        <v>142.89120049100001</v>
      </c>
      <c r="DX74" s="27">
        <v>165.75939978100001</v>
      </c>
      <c r="DY74" s="27">
        <v>88.106290153000003</v>
      </c>
      <c r="DZ74" s="27">
        <v>214.94674549400003</v>
      </c>
      <c r="EA74" s="27">
        <v>266.29734855200007</v>
      </c>
      <c r="EB74" s="27">
        <v>360.14814794200004</v>
      </c>
      <c r="EC74" s="27">
        <v>700.27334742699986</v>
      </c>
      <c r="ED74" s="27">
        <v>52.945668927</v>
      </c>
      <c r="EE74" s="27">
        <v>56.095149533000011</v>
      </c>
      <c r="EF74" s="27">
        <v>213.93007477500004</v>
      </c>
      <c r="EG74" s="27">
        <v>194.105438556</v>
      </c>
      <c r="EH74" s="27">
        <v>272.31311538200003</v>
      </c>
      <c r="EI74" s="27">
        <v>165.87081996500001</v>
      </c>
      <c r="EJ74" s="27">
        <v>323.142243173</v>
      </c>
      <c r="EK74" s="27">
        <v>237.58214705699999</v>
      </c>
      <c r="EL74" s="27">
        <v>292.72380044300002</v>
      </c>
      <c r="EM74" s="27">
        <v>285.59587469899992</v>
      </c>
      <c r="EN74" s="27">
        <v>368.66737337100011</v>
      </c>
      <c r="EO74" s="27">
        <v>830.67995415299993</v>
      </c>
      <c r="EP74" s="27">
        <v>69.263806791999997</v>
      </c>
      <c r="EQ74" s="27">
        <v>263.99010063399999</v>
      </c>
      <c r="ER74" s="27">
        <v>232.00552916699996</v>
      </c>
      <c r="ES74" s="27">
        <v>268.16568078800003</v>
      </c>
      <c r="ET74" s="27">
        <v>247.42930285400001</v>
      </c>
      <c r="EU74" s="27">
        <v>223.67106257899999</v>
      </c>
      <c r="EV74" s="27">
        <v>286.77915658799998</v>
      </c>
      <c r="EW74" s="27">
        <v>311.42469313400005</v>
      </c>
      <c r="EX74" s="27">
        <v>383.59698211199998</v>
      </c>
      <c r="EY74" s="27">
        <v>424.79687040800002</v>
      </c>
      <c r="EZ74" s="27">
        <v>377.28028096799994</v>
      </c>
      <c r="FA74" s="27">
        <v>660.59117247099994</v>
      </c>
      <c r="FB74" s="27">
        <v>36.879908792000002</v>
      </c>
      <c r="FC74" s="27">
        <v>214.13003094599998</v>
      </c>
      <c r="FD74" s="27">
        <v>290.12791172599998</v>
      </c>
      <c r="FE74" s="27">
        <v>280.27132817200004</v>
      </c>
      <c r="FF74" s="27">
        <v>470.21550394600007</v>
      </c>
      <c r="FG74" s="27">
        <v>393.31358946200004</v>
      </c>
      <c r="FH74" s="27">
        <v>408.60933009700005</v>
      </c>
      <c r="FI74" s="27">
        <v>419.098312652</v>
      </c>
      <c r="FJ74" s="27">
        <v>365.21336429000002</v>
      </c>
      <c r="FK74" s="27">
        <v>565.45216403699999</v>
      </c>
      <c r="FL74" s="27">
        <v>409.467713178</v>
      </c>
      <c r="FM74" s="27">
        <v>650.00079126600008</v>
      </c>
      <c r="FN74" s="27">
        <v>379.26472738599995</v>
      </c>
      <c r="FO74" s="27">
        <v>246.33501989299995</v>
      </c>
      <c r="FP74" s="27">
        <v>470.49105823799999</v>
      </c>
      <c r="FQ74" s="27">
        <v>387.09788963800003</v>
      </c>
      <c r="FR74" s="27">
        <v>466.57395322099995</v>
      </c>
      <c r="FS74" s="27">
        <v>320.16735707700002</v>
      </c>
      <c r="FT74" s="27">
        <v>290.9375354309999</v>
      </c>
      <c r="FU74" s="27">
        <v>545.35820514000011</v>
      </c>
      <c r="FV74" s="27">
        <v>431.28850184600003</v>
      </c>
      <c r="FW74" s="27">
        <v>471.32988618500008</v>
      </c>
      <c r="FX74" s="27">
        <v>513.36542878599982</v>
      </c>
      <c r="FY74" s="27">
        <v>816.36754835000011</v>
      </c>
      <c r="FZ74" s="27">
        <v>174.05071023900004</v>
      </c>
      <c r="GA74" s="27">
        <v>134.95338517799999</v>
      </c>
      <c r="GB74" s="22">
        <v>300.97126853200001</v>
      </c>
      <c r="GC74" s="22">
        <v>598.79386945299996</v>
      </c>
      <c r="GD74" s="22">
        <v>463.10688289599995</v>
      </c>
      <c r="GE74" s="22">
        <v>371.55746987300012</v>
      </c>
      <c r="GF74" s="22">
        <v>482.12541103400002</v>
      </c>
      <c r="GG74" s="22">
        <v>315.215678938</v>
      </c>
      <c r="GH74" s="22">
        <v>230.88242492200001</v>
      </c>
      <c r="GI74" s="22">
        <v>323.48479920800003</v>
      </c>
      <c r="GJ74" s="22">
        <v>445.48065582699996</v>
      </c>
      <c r="GK74" s="22">
        <v>847.364984703</v>
      </c>
      <c r="GL74" s="23">
        <v>114.883261511</v>
      </c>
      <c r="GM74" s="23">
        <v>202.16999960299998</v>
      </c>
      <c r="GN74" s="23">
        <v>570.4408570789999</v>
      </c>
      <c r="GO74" s="23">
        <v>403.61013225199997</v>
      </c>
      <c r="GP74" s="23">
        <v>480.88729044500002</v>
      </c>
      <c r="GQ74" s="23">
        <v>455.52925106500004</v>
      </c>
      <c r="GR74" s="23">
        <v>518.73203081999998</v>
      </c>
      <c r="GS74" s="23">
        <v>759.36310671900014</v>
      </c>
      <c r="GT74" s="23">
        <v>650.6027399840001</v>
      </c>
      <c r="GU74" s="23">
        <v>715.12154176800004</v>
      </c>
      <c r="GV74" s="23">
        <v>981.99210945300013</v>
      </c>
      <c r="GW74" s="23">
        <v>1101.3372796540002</v>
      </c>
      <c r="GX74" s="23">
        <v>192.15273772799995</v>
      </c>
      <c r="GY74" s="23">
        <v>329.84726874999996</v>
      </c>
      <c r="GZ74" s="23">
        <v>1087.0036912142689</v>
      </c>
      <c r="HA74" s="23">
        <v>625.24383709500023</v>
      </c>
      <c r="HB74" s="23">
        <v>533.10587041300005</v>
      </c>
      <c r="HC74" s="23">
        <v>634.01283350099993</v>
      </c>
      <c r="HD74" s="23">
        <v>715.00596093059812</v>
      </c>
      <c r="HE74" s="23">
        <v>474.89873150799997</v>
      </c>
      <c r="HF74" s="23"/>
      <c r="HG74" s="23"/>
      <c r="HH74" s="23"/>
      <c r="HI74" s="23"/>
    </row>
    <row r="75" spans="1:217">
      <c r="A75" s="29" t="s">
        <v>92</v>
      </c>
      <c r="B75" s="2">
        <v>25.762257559999998</v>
      </c>
      <c r="C75" s="2">
        <v>22.002337347999998</v>
      </c>
      <c r="D75" s="2">
        <v>52.267360598000003</v>
      </c>
      <c r="E75" s="2">
        <v>82.152754563999991</v>
      </c>
      <c r="F75" s="2">
        <v>86.66804543100001</v>
      </c>
      <c r="G75" s="2">
        <v>102.51793323</v>
      </c>
      <c r="H75" s="2">
        <v>82.219875189999996</v>
      </c>
      <c r="I75" s="2">
        <v>75.933300922000001</v>
      </c>
      <c r="J75" s="2">
        <v>92.46263986400001</v>
      </c>
      <c r="K75" s="2">
        <v>86.362544384000017</v>
      </c>
      <c r="L75" s="2">
        <v>145.39139971900002</v>
      </c>
      <c r="M75" s="2">
        <v>257.389265862</v>
      </c>
      <c r="N75" s="2">
        <v>0.91441225199999998</v>
      </c>
      <c r="O75" s="2">
        <v>17.982643844000002</v>
      </c>
      <c r="P75" s="2">
        <v>98.623232505000004</v>
      </c>
      <c r="Q75" s="2">
        <v>78.305806612999987</v>
      </c>
      <c r="R75" s="2">
        <v>83.228755073000002</v>
      </c>
      <c r="S75" s="2">
        <v>68.933521579000001</v>
      </c>
      <c r="T75" s="2">
        <v>89.717997396999991</v>
      </c>
      <c r="U75" s="2">
        <v>93.169307935999996</v>
      </c>
      <c r="V75" s="2">
        <v>75.826003486000005</v>
      </c>
      <c r="W75" s="2">
        <v>250.97726556100002</v>
      </c>
      <c r="X75" s="2">
        <v>220.14937265200001</v>
      </c>
      <c r="Y75" s="2">
        <v>304.23869399900002</v>
      </c>
      <c r="Z75" s="2">
        <v>30.764703222999998</v>
      </c>
      <c r="AA75" s="2">
        <v>30.007674707</v>
      </c>
      <c r="AB75" s="2">
        <v>79.038684711999991</v>
      </c>
      <c r="AC75" s="2">
        <v>67.601833455999994</v>
      </c>
      <c r="AD75" s="2">
        <v>90.105566805999999</v>
      </c>
      <c r="AE75" s="2">
        <v>96.737113420000014</v>
      </c>
      <c r="AF75" s="2">
        <v>129.27874030300001</v>
      </c>
      <c r="AG75" s="2">
        <v>131.88065080200002</v>
      </c>
      <c r="AH75" s="2">
        <v>97.4938784</v>
      </c>
      <c r="AI75" s="2">
        <v>97.902975120999997</v>
      </c>
      <c r="AJ75" s="2">
        <v>241.21482188099998</v>
      </c>
      <c r="AK75" s="2">
        <v>337.27690850900001</v>
      </c>
      <c r="AL75" s="2">
        <v>10.555874277999999</v>
      </c>
      <c r="AM75" s="2">
        <v>27.378966730999998</v>
      </c>
      <c r="AN75" s="2">
        <v>162.17223483500001</v>
      </c>
      <c r="AO75" s="2">
        <v>77.989051735000004</v>
      </c>
      <c r="AP75" s="2">
        <v>114.670859287</v>
      </c>
      <c r="AQ75" s="2">
        <v>148.72558605600003</v>
      </c>
      <c r="AR75" s="2">
        <v>91.460498943000005</v>
      </c>
      <c r="AS75" s="2">
        <v>113.900181961</v>
      </c>
      <c r="AT75" s="2">
        <v>123.33995045399999</v>
      </c>
      <c r="AU75" s="2">
        <v>155.807526182</v>
      </c>
      <c r="AV75" s="2">
        <v>190.443767525</v>
      </c>
      <c r="AW75" s="2">
        <v>336.85047924999992</v>
      </c>
      <c r="AX75" s="2">
        <v>84.449454943000006</v>
      </c>
      <c r="AY75" s="2">
        <v>16.131228775</v>
      </c>
      <c r="AZ75" s="2">
        <v>86.120084886000001</v>
      </c>
      <c r="BA75" s="2">
        <v>77.63308649599999</v>
      </c>
      <c r="BB75" s="2">
        <v>137.96406422300001</v>
      </c>
      <c r="BC75" s="2">
        <v>87.395620503999993</v>
      </c>
      <c r="BD75" s="2">
        <v>112.636912162</v>
      </c>
      <c r="BE75" s="2">
        <v>112.16544385099999</v>
      </c>
      <c r="BF75" s="2">
        <v>132.190888226</v>
      </c>
      <c r="BG75" s="2">
        <v>126.123557467</v>
      </c>
      <c r="BH75" s="2">
        <v>165.760528134</v>
      </c>
      <c r="BI75" s="2">
        <v>301.49724188199997</v>
      </c>
      <c r="BJ75" s="2">
        <v>23.030523555999999</v>
      </c>
      <c r="BK75" s="2">
        <v>28.177886548999997</v>
      </c>
      <c r="BL75" s="2">
        <v>49.458922127000001</v>
      </c>
      <c r="BM75" s="2">
        <v>90.153426985999985</v>
      </c>
      <c r="BN75" s="2">
        <v>126.16302429699999</v>
      </c>
      <c r="BO75" s="2">
        <v>66.65602898500002</v>
      </c>
      <c r="BP75" s="2">
        <v>99.977040381999998</v>
      </c>
      <c r="BQ75" s="2">
        <v>106.47525762099998</v>
      </c>
      <c r="BR75" s="2">
        <v>52.223385765000003</v>
      </c>
      <c r="BS75" s="2">
        <v>87.188627942000011</v>
      </c>
      <c r="BT75" s="2">
        <v>161.28281733100005</v>
      </c>
      <c r="BU75" s="2">
        <v>264.40618251600006</v>
      </c>
      <c r="BV75" s="2">
        <v>2.4334052349999995</v>
      </c>
      <c r="BW75" s="2">
        <v>39.361891436999997</v>
      </c>
      <c r="BX75" s="2">
        <v>158.92890780900001</v>
      </c>
      <c r="BY75" s="2">
        <v>115.95848943800003</v>
      </c>
      <c r="BZ75" s="2">
        <v>127.60713335800001</v>
      </c>
      <c r="CA75" s="2">
        <v>129.010081614</v>
      </c>
      <c r="CB75" s="2">
        <v>117.24364557999999</v>
      </c>
      <c r="CC75" s="2">
        <v>179.78183750000002</v>
      </c>
      <c r="CD75" s="2">
        <v>275.06983009999999</v>
      </c>
      <c r="CE75" s="2">
        <v>222.665781262</v>
      </c>
      <c r="CF75" s="2">
        <v>217.18785767299997</v>
      </c>
      <c r="CG75" s="2">
        <v>471.18020032099997</v>
      </c>
      <c r="CH75" s="2">
        <v>26.404467097999998</v>
      </c>
      <c r="CI75" s="2">
        <v>160.07253134299998</v>
      </c>
      <c r="CJ75" s="2">
        <v>93.985145602999992</v>
      </c>
      <c r="CK75" s="2">
        <v>121.31678181899998</v>
      </c>
      <c r="CL75" s="2">
        <v>132.51804582400001</v>
      </c>
      <c r="CM75" s="2">
        <v>145.48265244999999</v>
      </c>
      <c r="CN75" s="2">
        <v>117.34912440799998</v>
      </c>
      <c r="CO75" s="2">
        <v>164.04387502400002</v>
      </c>
      <c r="CP75" s="2">
        <v>192.25946999300001</v>
      </c>
      <c r="CQ75" s="2">
        <v>198.50147553600004</v>
      </c>
      <c r="CR75" s="2">
        <v>280.50958801899992</v>
      </c>
      <c r="CS75" s="2">
        <v>601.48774832300012</v>
      </c>
      <c r="CT75" s="2">
        <v>38.999830975999998</v>
      </c>
      <c r="CU75" s="2">
        <v>88.52373468799999</v>
      </c>
      <c r="CV75" s="2">
        <v>151.87738189800001</v>
      </c>
      <c r="CW75" s="2">
        <v>112.804719017</v>
      </c>
      <c r="CX75" s="2">
        <v>209.86396783799998</v>
      </c>
      <c r="CY75" s="2">
        <v>99.844376190000006</v>
      </c>
      <c r="CZ75" s="2">
        <v>122.69755995099999</v>
      </c>
      <c r="DA75" s="2">
        <v>158.17696225</v>
      </c>
      <c r="DB75" s="2">
        <v>159.86334444100001</v>
      </c>
      <c r="DC75" s="2">
        <v>210.93911162999999</v>
      </c>
      <c r="DD75" s="2">
        <v>340.29838227700003</v>
      </c>
      <c r="DE75" s="2">
        <v>715.34015826899986</v>
      </c>
      <c r="DF75" s="2">
        <v>27.989961966999999</v>
      </c>
      <c r="DG75" s="2">
        <v>55.840026434999999</v>
      </c>
      <c r="DH75" s="2">
        <v>168.07183158500001</v>
      </c>
      <c r="DI75" s="2">
        <v>193.54750977899999</v>
      </c>
      <c r="DJ75" s="2">
        <v>161.55992180099997</v>
      </c>
      <c r="DK75" s="2">
        <v>142.48611322900004</v>
      </c>
      <c r="DL75" s="2">
        <v>241.336999496</v>
      </c>
      <c r="DM75" s="2">
        <v>225.55642982999996</v>
      </c>
      <c r="DN75" s="2">
        <v>171.475635385</v>
      </c>
      <c r="DO75" s="2">
        <v>154.13650886399998</v>
      </c>
      <c r="DP75" s="2">
        <v>632.27628020599991</v>
      </c>
      <c r="DQ75" s="2">
        <v>677.19282081800009</v>
      </c>
      <c r="DR75" s="2">
        <v>278.946520013</v>
      </c>
      <c r="DS75" s="2">
        <v>137.94995700999999</v>
      </c>
      <c r="DT75" s="2">
        <v>219.56495972499999</v>
      </c>
      <c r="DU75" s="2">
        <v>162.006314737</v>
      </c>
      <c r="DV75" s="2">
        <v>175.02207133499999</v>
      </c>
      <c r="DW75" s="2">
        <v>138.888926191</v>
      </c>
      <c r="DX75" s="2">
        <v>165.119943581</v>
      </c>
      <c r="DY75" s="2">
        <v>87.156295653000001</v>
      </c>
      <c r="DZ75" s="2">
        <v>211.42619591400003</v>
      </c>
      <c r="EA75" s="2">
        <v>264.69796202400005</v>
      </c>
      <c r="EB75" s="2">
        <v>358.41459278200006</v>
      </c>
      <c r="EC75" s="2">
        <v>698.37491342699991</v>
      </c>
      <c r="ED75" s="2">
        <v>52.945668927</v>
      </c>
      <c r="EE75" s="2">
        <v>56.095149533000011</v>
      </c>
      <c r="EF75" s="2">
        <v>205.67466253500004</v>
      </c>
      <c r="EG75" s="2">
        <v>189.85900907600001</v>
      </c>
      <c r="EH75" s="2">
        <v>269.57559719200003</v>
      </c>
      <c r="EI75" s="2">
        <v>165.00497676500001</v>
      </c>
      <c r="EJ75" s="2">
        <v>323.142243173</v>
      </c>
      <c r="EK75" s="2">
        <v>237.26014705699998</v>
      </c>
      <c r="EL75" s="2">
        <v>288.17996544300001</v>
      </c>
      <c r="EM75" s="2">
        <v>281.21866969899992</v>
      </c>
      <c r="EN75" s="2">
        <v>367.3113353710001</v>
      </c>
      <c r="EO75" s="2">
        <v>823.56689444299991</v>
      </c>
      <c r="EP75" s="2">
        <v>69.263806791999997</v>
      </c>
      <c r="EQ75" s="2">
        <v>262.49569363399996</v>
      </c>
      <c r="ER75" s="2">
        <v>231.12052916699997</v>
      </c>
      <c r="ES75" s="2">
        <v>268.15301178800001</v>
      </c>
      <c r="ET75" s="2">
        <v>247.42495885400001</v>
      </c>
      <c r="EU75" s="2">
        <v>222.983234219</v>
      </c>
      <c r="EV75" s="2">
        <v>283.35685658799997</v>
      </c>
      <c r="EW75" s="2">
        <v>309.21850813400005</v>
      </c>
      <c r="EX75" s="2">
        <v>383.59698211199998</v>
      </c>
      <c r="EY75" s="2">
        <v>422.25078150800005</v>
      </c>
      <c r="EZ75" s="2">
        <v>368.12410996799991</v>
      </c>
      <c r="FA75" s="2">
        <v>654.88523073199997</v>
      </c>
      <c r="FB75" s="2">
        <v>36.879908792000002</v>
      </c>
      <c r="FC75" s="2">
        <v>213.58961624799997</v>
      </c>
      <c r="FD75" s="2">
        <v>282.23193770999995</v>
      </c>
      <c r="FE75" s="2">
        <v>278.27646733200004</v>
      </c>
      <c r="FF75" s="2">
        <v>467.58613165400004</v>
      </c>
      <c r="FG75" s="2">
        <v>384.62001471700006</v>
      </c>
      <c r="FH75" s="2">
        <v>406.31616585100005</v>
      </c>
      <c r="FI75" s="2">
        <v>416.018964246</v>
      </c>
      <c r="FJ75" s="2">
        <v>360.55494450600003</v>
      </c>
      <c r="FK75" s="2">
        <v>564.43493971700002</v>
      </c>
      <c r="FL75" s="2">
        <v>408.88071525399999</v>
      </c>
      <c r="FM75" s="2">
        <v>642.51544618700007</v>
      </c>
      <c r="FN75" s="2">
        <v>377.38726643199993</v>
      </c>
      <c r="FO75" s="2">
        <v>246.04209094299995</v>
      </c>
      <c r="FP75" s="2">
        <v>462.29075959799997</v>
      </c>
      <c r="FQ75" s="2">
        <v>385.76112591000003</v>
      </c>
      <c r="FR75" s="2">
        <v>463.85366401099998</v>
      </c>
      <c r="FS75" s="2">
        <v>315.89029522100003</v>
      </c>
      <c r="FT75" s="2">
        <v>290.9375354309999</v>
      </c>
      <c r="FU75" s="2">
        <v>545.35317498000006</v>
      </c>
      <c r="FV75" s="2">
        <v>427.25114017100003</v>
      </c>
      <c r="FW75" s="2">
        <v>466.31516706200006</v>
      </c>
      <c r="FX75" s="2">
        <v>512.40090560999988</v>
      </c>
      <c r="FY75" s="2">
        <v>812.53227996900011</v>
      </c>
      <c r="FZ75" s="2">
        <v>163.28466318200003</v>
      </c>
      <c r="GA75" s="2">
        <v>130.31322017799999</v>
      </c>
      <c r="GB75" s="22">
        <v>297.894495947</v>
      </c>
      <c r="GC75" s="22">
        <v>593.655235737</v>
      </c>
      <c r="GD75" s="22">
        <v>462.35329207599995</v>
      </c>
      <c r="GE75" s="22">
        <v>370.01878830200013</v>
      </c>
      <c r="GF75" s="22">
        <v>481.223147294</v>
      </c>
      <c r="GG75" s="22">
        <v>312.68751395099997</v>
      </c>
      <c r="GH75" s="22">
        <v>229.49878952700001</v>
      </c>
      <c r="GI75" s="22">
        <v>323.13500120800001</v>
      </c>
      <c r="GJ75" s="22">
        <v>443.91570347599998</v>
      </c>
      <c r="GK75" s="22">
        <v>844.87622486300006</v>
      </c>
      <c r="GL75" s="23">
        <v>101.255398951</v>
      </c>
      <c r="GM75" s="23">
        <v>205.75383905699999</v>
      </c>
      <c r="GN75" s="23">
        <v>521.68786792699996</v>
      </c>
      <c r="GO75" s="23">
        <v>399.27938122399996</v>
      </c>
      <c r="GP75" s="23">
        <v>479.38074749899999</v>
      </c>
      <c r="GQ75" s="23">
        <v>412.238891927</v>
      </c>
      <c r="GR75" s="23">
        <v>517.50102718200003</v>
      </c>
      <c r="GS75" s="23">
        <v>652.1039243890001</v>
      </c>
      <c r="GT75" s="23">
        <v>594.02446244900011</v>
      </c>
      <c r="GU75" s="23">
        <v>712.83723709200001</v>
      </c>
      <c r="GV75" s="23">
        <v>482.47872591000009</v>
      </c>
      <c r="GW75" s="23">
        <v>962.9292404470001</v>
      </c>
      <c r="GX75" s="23">
        <v>184.45806172799996</v>
      </c>
      <c r="GY75" s="23">
        <v>323.66625989699997</v>
      </c>
      <c r="GZ75" s="23">
        <v>745.78827330299987</v>
      </c>
      <c r="HA75" s="23">
        <v>616.5801459180002</v>
      </c>
      <c r="HB75" s="23">
        <v>531.32989416200007</v>
      </c>
      <c r="HC75" s="23">
        <v>628.71745793999992</v>
      </c>
      <c r="HD75" s="23">
        <v>411.97029782300007</v>
      </c>
      <c r="HE75" s="23">
        <v>472.35451294299997</v>
      </c>
      <c r="HF75" s="23"/>
      <c r="HG75" s="23"/>
      <c r="HH75" s="23"/>
      <c r="HI75" s="23"/>
    </row>
    <row r="76" spans="1:217">
      <c r="A76" s="29" t="s">
        <v>93</v>
      </c>
      <c r="B76" s="2">
        <v>0</v>
      </c>
      <c r="C76" s="2">
        <v>1.848E-2</v>
      </c>
      <c r="D76" s="2">
        <v>0.37998750000000003</v>
      </c>
      <c r="E76" s="2">
        <v>0.42924175000000003</v>
      </c>
      <c r="F76" s="2">
        <v>4.3137162999999999E-2</v>
      </c>
      <c r="G76" s="2">
        <v>0</v>
      </c>
      <c r="H76" s="2">
        <v>0.34254203500000002</v>
      </c>
      <c r="I76" s="2">
        <v>0.29714200000000002</v>
      </c>
      <c r="J76" s="2">
        <v>1.6995E-2</v>
      </c>
      <c r="K76" s="2">
        <v>1.4826600000000001</v>
      </c>
      <c r="L76" s="2">
        <v>0.25438</v>
      </c>
      <c r="M76" s="2">
        <v>0.28436700000000004</v>
      </c>
      <c r="N76" s="2">
        <v>0</v>
      </c>
      <c r="O76" s="2">
        <v>0.6</v>
      </c>
      <c r="P76" s="2">
        <v>1.0649999999999999</v>
      </c>
      <c r="Q76" s="2">
        <v>0.3</v>
      </c>
      <c r="R76" s="2">
        <v>0.22139900399999998</v>
      </c>
      <c r="S76" s="2">
        <v>0</v>
      </c>
      <c r="T76" s="2">
        <v>1.215249</v>
      </c>
      <c r="U76" s="2">
        <v>0</v>
      </c>
      <c r="V76" s="2">
        <v>1.2937077999999999E-2</v>
      </c>
      <c r="W76" s="2">
        <v>2.5</v>
      </c>
      <c r="X76" s="2">
        <v>0.63047770000000003</v>
      </c>
      <c r="Y76" s="2">
        <v>0.25914999999999999</v>
      </c>
      <c r="Z76" s="2">
        <v>0</v>
      </c>
      <c r="AA76" s="2">
        <v>0</v>
      </c>
      <c r="AB76" s="2">
        <v>0</v>
      </c>
      <c r="AC76" s="2">
        <v>0</v>
      </c>
      <c r="AD76" s="2">
        <v>1.929874002</v>
      </c>
      <c r="AE76" s="2">
        <v>1.0294853350000002</v>
      </c>
      <c r="AF76" s="2">
        <v>0.45</v>
      </c>
      <c r="AG76" s="2">
        <v>0.75381058999999995</v>
      </c>
      <c r="AH76" s="2">
        <v>0.7151594</v>
      </c>
      <c r="AI76" s="2">
        <v>0.71749130699999997</v>
      </c>
      <c r="AJ76" s="2">
        <v>3.0900635159999998</v>
      </c>
      <c r="AK76" s="2">
        <v>10.938877058999999</v>
      </c>
      <c r="AL76" s="2">
        <v>1.2</v>
      </c>
      <c r="AM76" s="2">
        <v>1.784</v>
      </c>
      <c r="AN76" s="2">
        <v>0.56299999999999994</v>
      </c>
      <c r="AO76" s="2">
        <v>0.7</v>
      </c>
      <c r="AP76" s="2">
        <v>0.43466534000000001</v>
      </c>
      <c r="AQ76" s="2">
        <v>0.75385000000000002</v>
      </c>
      <c r="AR76" s="2">
        <v>0.40988870000000005</v>
      </c>
      <c r="AS76" s="2">
        <v>0.70529599999999992</v>
      </c>
      <c r="AT76" s="2">
        <v>-6.5532900000000019E-2</v>
      </c>
      <c r="AU76" s="2">
        <v>0</v>
      </c>
      <c r="AV76" s="2">
        <v>6.958884726</v>
      </c>
      <c r="AW76" s="2">
        <v>12.004031938000001</v>
      </c>
      <c r="AX76" s="2">
        <v>0</v>
      </c>
      <c r="AY76" s="2">
        <v>0</v>
      </c>
      <c r="AZ76" s="2">
        <v>2.7</v>
      </c>
      <c r="BA76" s="2">
        <v>2.44</v>
      </c>
      <c r="BB76" s="2">
        <v>3.95999349</v>
      </c>
      <c r="BC76" s="2">
        <v>1.0699997919999999</v>
      </c>
      <c r="BD76" s="2">
        <v>1.069996392</v>
      </c>
      <c r="BE76" s="2">
        <v>15.973812202000001</v>
      </c>
      <c r="BF76" s="2">
        <v>7.9237917250000001</v>
      </c>
      <c r="BG76" s="2">
        <v>4.8844904680000001</v>
      </c>
      <c r="BH76" s="2">
        <v>1.00687412</v>
      </c>
      <c r="BI76" s="2">
        <v>46.503125439999998</v>
      </c>
      <c r="BJ76" s="2">
        <v>0</v>
      </c>
      <c r="BK76" s="2">
        <v>3.0881999999999996</v>
      </c>
      <c r="BL76" s="2">
        <v>4.1349999999999998</v>
      </c>
      <c r="BM76" s="2">
        <v>9.9494091739999995</v>
      </c>
      <c r="BN76" s="2">
        <v>2.157539146</v>
      </c>
      <c r="BO76" s="2">
        <v>9.4771887110000002</v>
      </c>
      <c r="BP76" s="2">
        <v>41.722483097999998</v>
      </c>
      <c r="BQ76" s="2">
        <v>2.5936700019999996</v>
      </c>
      <c r="BR76" s="2">
        <v>0.93946532400000005</v>
      </c>
      <c r="BS76" s="2">
        <v>-1.2866302189999999</v>
      </c>
      <c r="BT76" s="2">
        <v>0</v>
      </c>
      <c r="BU76" s="2">
        <v>18.983933287999999</v>
      </c>
      <c r="BV76" s="2">
        <v>0</v>
      </c>
      <c r="BW76" s="2">
        <v>0</v>
      </c>
      <c r="BX76" s="2">
        <v>0</v>
      </c>
      <c r="BY76" s="2">
        <v>0.17172000000000001</v>
      </c>
      <c r="BZ76" s="2">
        <v>0.02</v>
      </c>
      <c r="CA76" s="2">
        <v>1.46E-2</v>
      </c>
      <c r="CB76" s="2">
        <v>3.5387000000000059E-4</v>
      </c>
      <c r="CC76" s="2">
        <v>0.1145306</v>
      </c>
      <c r="CD76" s="2">
        <v>1.3567576959999998</v>
      </c>
      <c r="CE76" s="2">
        <v>4.7599999999999995E-3</v>
      </c>
      <c r="CF76" s="2">
        <v>3.7964482410000002</v>
      </c>
      <c r="CG76" s="2">
        <v>13.111510573</v>
      </c>
      <c r="CH76" s="2">
        <v>0</v>
      </c>
      <c r="CI76" s="2">
        <v>0</v>
      </c>
      <c r="CJ76" s="2">
        <v>0</v>
      </c>
      <c r="CK76" s="2">
        <v>7.8226091560000004</v>
      </c>
      <c r="CL76" s="2">
        <v>7.1449717879999994</v>
      </c>
      <c r="CM76" s="2">
        <v>1.369547721</v>
      </c>
      <c r="CN76" s="2">
        <v>0.23635600500000001</v>
      </c>
      <c r="CO76" s="2">
        <v>1.7965741</v>
      </c>
      <c r="CP76" s="2">
        <v>0.20761000000000002</v>
      </c>
      <c r="CQ76" s="2">
        <v>4.2294635899999999</v>
      </c>
      <c r="CR76" s="2">
        <v>3.1282106399999998</v>
      </c>
      <c r="CS76" s="2">
        <v>6.6568704869999991</v>
      </c>
      <c r="CT76" s="2">
        <v>0</v>
      </c>
      <c r="CU76" s="2">
        <v>0</v>
      </c>
      <c r="CV76" s="2">
        <v>0</v>
      </c>
      <c r="CW76" s="2">
        <v>0</v>
      </c>
      <c r="CX76" s="2">
        <v>11.16289224</v>
      </c>
      <c r="CY76" s="2">
        <v>4.7935224820000002</v>
      </c>
      <c r="CZ76" s="2">
        <v>1.9864335610000001</v>
      </c>
      <c r="DA76" s="2">
        <v>1.0498499999999999</v>
      </c>
      <c r="DB76" s="2">
        <v>0</v>
      </c>
      <c r="DC76" s="2">
        <v>3.5362</v>
      </c>
      <c r="DD76" s="2">
        <v>0.89883834200000001</v>
      </c>
      <c r="DE76" s="2">
        <v>21.297180430000001</v>
      </c>
      <c r="DF76" s="2">
        <v>0</v>
      </c>
      <c r="DG76" s="2">
        <v>1.7727956999999999</v>
      </c>
      <c r="DH76" s="2">
        <v>0</v>
      </c>
      <c r="DI76" s="2">
        <v>0</v>
      </c>
      <c r="DJ76" s="2">
        <v>0.16200000000000001</v>
      </c>
      <c r="DK76" s="2">
        <v>1.3808909999999999</v>
      </c>
      <c r="DL76" s="2">
        <v>3.532</v>
      </c>
      <c r="DM76" s="2">
        <v>0.77012099999999994</v>
      </c>
      <c r="DN76" s="2">
        <v>7.6054643799999999</v>
      </c>
      <c r="DO76" s="2">
        <v>-7.4435379999999995E-2</v>
      </c>
      <c r="DP76" s="2">
        <v>11.617795585</v>
      </c>
      <c r="DQ76" s="2">
        <v>3.6956514299999998</v>
      </c>
      <c r="DR76" s="2">
        <v>0</v>
      </c>
      <c r="DS76" s="2">
        <v>6.5284861030000005</v>
      </c>
      <c r="DT76" s="2">
        <v>0</v>
      </c>
      <c r="DU76" s="2">
        <v>2.2526534360000001</v>
      </c>
      <c r="DV76" s="2">
        <v>2.3947135159999999</v>
      </c>
      <c r="DW76" s="2">
        <v>4.0022742999999998</v>
      </c>
      <c r="DX76" s="2">
        <v>0.63945619999999992</v>
      </c>
      <c r="DY76" s="2">
        <v>0.94999449999999996</v>
      </c>
      <c r="DZ76" s="2">
        <v>3.5205495800000004</v>
      </c>
      <c r="EA76" s="2">
        <v>1.5993865279999999</v>
      </c>
      <c r="EB76" s="2">
        <v>1.7335551600000001</v>
      </c>
      <c r="EC76" s="2">
        <v>1.898434</v>
      </c>
      <c r="ED76" s="2">
        <v>0</v>
      </c>
      <c r="EE76" s="2">
        <v>0</v>
      </c>
      <c r="EF76" s="2">
        <v>8.2554122400000001</v>
      </c>
      <c r="EG76" s="2">
        <v>4.2464294799999998</v>
      </c>
      <c r="EH76" s="2">
        <v>2.7375181899999999</v>
      </c>
      <c r="EI76" s="2">
        <v>0.86584320000000004</v>
      </c>
      <c r="EJ76" s="2">
        <v>0</v>
      </c>
      <c r="EK76" s="2">
        <v>0.32200000000000001</v>
      </c>
      <c r="EL76" s="2">
        <v>4.5438349999999996</v>
      </c>
      <c r="EM76" s="2">
        <v>4.377205</v>
      </c>
      <c r="EN76" s="2">
        <v>1.3560380000000001</v>
      </c>
      <c r="EO76" s="2">
        <v>7.1130597099999999</v>
      </c>
      <c r="EP76" s="2">
        <v>0</v>
      </c>
      <c r="EQ76" s="2">
        <v>1.4944069999999998</v>
      </c>
      <c r="ER76" s="2">
        <v>0.88500000000000001</v>
      </c>
      <c r="ES76" s="2">
        <v>1.2669E-2</v>
      </c>
      <c r="ET76" s="2">
        <v>4.3440000000000006E-3</v>
      </c>
      <c r="EU76" s="2">
        <v>0.68782836000000003</v>
      </c>
      <c r="EV76" s="2">
        <v>3.4222999999999999</v>
      </c>
      <c r="EW76" s="2">
        <v>2.2061850000000001</v>
      </c>
      <c r="EX76" s="2">
        <v>0</v>
      </c>
      <c r="EY76" s="2">
        <v>2.5460889</v>
      </c>
      <c r="EZ76" s="2">
        <v>9.1561710000000005</v>
      </c>
      <c r="FA76" s="2">
        <v>5.705941739</v>
      </c>
      <c r="FB76" s="2">
        <v>0</v>
      </c>
      <c r="FC76" s="2">
        <v>0.54041469800000008</v>
      </c>
      <c r="FD76" s="2">
        <v>7.8959740160000003</v>
      </c>
      <c r="FE76" s="2">
        <v>1.9948608400000003</v>
      </c>
      <c r="FF76" s="2">
        <v>2.6293722920000002</v>
      </c>
      <c r="FG76" s="2">
        <v>8.6935747450000012</v>
      </c>
      <c r="FH76" s="2">
        <v>2.2931642460000004</v>
      </c>
      <c r="FI76" s="2">
        <v>3.0793484059999998</v>
      </c>
      <c r="FJ76" s="2">
        <v>4.6584197840000003</v>
      </c>
      <c r="FK76" s="2">
        <v>1.01722432</v>
      </c>
      <c r="FL76" s="2">
        <v>0.58699792399999995</v>
      </c>
      <c r="FM76" s="2">
        <v>7.485345079</v>
      </c>
      <c r="FN76" s="2">
        <v>1.8774609539999998</v>
      </c>
      <c r="FO76" s="2">
        <v>0.29292894999999997</v>
      </c>
      <c r="FP76" s="2">
        <v>8.2002986400000015</v>
      </c>
      <c r="FQ76" s="2">
        <v>1.336763728</v>
      </c>
      <c r="FR76" s="2">
        <v>2.7202892099999998</v>
      </c>
      <c r="FS76" s="2">
        <v>4.2770618559999996</v>
      </c>
      <c r="FT76" s="2">
        <v>0</v>
      </c>
      <c r="FU76" s="2">
        <v>5.0301600000000005E-3</v>
      </c>
      <c r="FV76" s="2">
        <v>4.0373616750000005</v>
      </c>
      <c r="FW76" s="2">
        <v>5.0147191229999999</v>
      </c>
      <c r="FX76" s="2">
        <v>0.96452317600000004</v>
      </c>
      <c r="FY76" s="2">
        <v>3.8352683809999997</v>
      </c>
      <c r="FZ76" s="2">
        <v>10.766047057</v>
      </c>
      <c r="GA76" s="2">
        <v>4.6401649999999997</v>
      </c>
      <c r="GB76" s="22">
        <v>3.0767725850000001</v>
      </c>
      <c r="GC76" s="22">
        <v>5.1386337160000002</v>
      </c>
      <c r="GD76" s="22">
        <v>0.75359081999999999</v>
      </c>
      <c r="GE76" s="22">
        <v>1.5386815709999999</v>
      </c>
      <c r="GF76" s="22">
        <v>0.90226373999999998</v>
      </c>
      <c r="GG76" s="22">
        <v>2.5281649869999998</v>
      </c>
      <c r="GH76" s="22">
        <v>1.3836353949999998</v>
      </c>
      <c r="GI76" s="22">
        <v>0.349798</v>
      </c>
      <c r="GJ76" s="22">
        <v>1.5649523509999999</v>
      </c>
      <c r="GK76" s="22">
        <v>2.4887598399999997</v>
      </c>
      <c r="GL76" s="23">
        <v>13.627862559999999</v>
      </c>
      <c r="GM76" s="23">
        <v>-3.8593582</v>
      </c>
      <c r="GN76" s="23">
        <v>7.9295393999999995</v>
      </c>
      <c r="GO76" s="23">
        <v>4.3307510279999999</v>
      </c>
      <c r="GP76" s="23">
        <v>1.5065429460000002</v>
      </c>
      <c r="GQ76" s="23">
        <v>5.9921609130000002</v>
      </c>
      <c r="GR76" s="23">
        <v>1.231003638</v>
      </c>
      <c r="GS76" s="23">
        <v>3.257344834</v>
      </c>
      <c r="GT76" s="23">
        <v>1.4367948109999999</v>
      </c>
      <c r="GU76" s="23">
        <v>2.2843046760000001</v>
      </c>
      <c r="GV76" s="23">
        <v>2.0164478020000001</v>
      </c>
      <c r="GW76" s="23">
        <v>6.7485017629999993</v>
      </c>
      <c r="GX76" s="23">
        <v>7.6946760000000003</v>
      </c>
      <c r="GY76" s="23">
        <v>6.1810088530000007</v>
      </c>
      <c r="GZ76" s="23">
        <v>1.2058228309999999</v>
      </c>
      <c r="HA76" s="23">
        <v>8.6636911770000005</v>
      </c>
      <c r="HB76" s="23">
        <v>1.7759762510000001</v>
      </c>
      <c r="HC76" s="23">
        <v>5.2953755610000002</v>
      </c>
      <c r="HD76" s="23">
        <v>0.60692312700000006</v>
      </c>
      <c r="HE76" s="23">
        <v>2.544218565</v>
      </c>
      <c r="HF76" s="23"/>
      <c r="HG76" s="23"/>
      <c r="HH76" s="23"/>
      <c r="HI76" s="23"/>
    </row>
    <row r="77" spans="1:217" ht="13.9" customHeight="1">
      <c r="A77" s="29" t="s">
        <v>94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3">
        <v>0</v>
      </c>
      <c r="GM77" s="23">
        <v>0.27551874600000004</v>
      </c>
      <c r="GN77" s="23">
        <v>40.823449752000002</v>
      </c>
      <c r="GO77" s="23">
        <v>0</v>
      </c>
      <c r="GP77" s="23">
        <v>0</v>
      </c>
      <c r="GQ77" s="23">
        <v>37.298198225</v>
      </c>
      <c r="GR77" s="23">
        <v>0</v>
      </c>
      <c r="GS77" s="23">
        <v>104.00183749599999</v>
      </c>
      <c r="GT77" s="23">
        <v>55.141482723999999</v>
      </c>
      <c r="GU77" s="23">
        <v>0</v>
      </c>
      <c r="GV77" s="23">
        <v>497.49693574100002</v>
      </c>
      <c r="GW77" s="23">
        <v>131.65953744399999</v>
      </c>
      <c r="GX77" s="23">
        <v>0</v>
      </c>
      <c r="GY77" s="23">
        <v>0</v>
      </c>
      <c r="GZ77" s="23">
        <v>340.00959508026898</v>
      </c>
      <c r="HA77" s="23">
        <v>0</v>
      </c>
      <c r="HB77" s="23">
        <v>0</v>
      </c>
      <c r="HC77" s="23">
        <v>0</v>
      </c>
      <c r="HD77" s="23">
        <v>302.42873998059798</v>
      </c>
      <c r="HE77" s="23">
        <v>0</v>
      </c>
      <c r="HF77" s="23"/>
      <c r="HG77" s="23"/>
      <c r="HH77" s="23"/>
      <c r="HI77" s="23"/>
    </row>
    <row r="78" spans="1:217" s="61" customFormat="1" ht="15.75">
      <c r="A78" s="55" t="s">
        <v>95</v>
      </c>
      <c r="B78" s="56">
        <v>-9.9788796159999471</v>
      </c>
      <c r="C78" s="56">
        <v>20.524998857999986</v>
      </c>
      <c r="D78" s="56">
        <v>-43.694568004999887</v>
      </c>
      <c r="E78" s="56">
        <v>51.698619156999982</v>
      </c>
      <c r="F78" s="56">
        <v>-25.803699181999974</v>
      </c>
      <c r="G78" s="56">
        <v>-140.30206368299991</v>
      </c>
      <c r="H78" s="56">
        <v>-59.148377613999969</v>
      </c>
      <c r="I78" s="56">
        <v>86.24556837900009</v>
      </c>
      <c r="J78" s="56">
        <v>77.914037529000083</v>
      </c>
      <c r="K78" s="56">
        <v>60.115709261999982</v>
      </c>
      <c r="L78" s="56">
        <v>-18.795345454999904</v>
      </c>
      <c r="M78" s="56">
        <v>-233.11819184400019</v>
      </c>
      <c r="N78" s="56">
        <v>47.882302223000046</v>
      </c>
      <c r="O78" s="56">
        <v>96.958469581000102</v>
      </c>
      <c r="P78" s="56">
        <v>101.310909651</v>
      </c>
      <c r="Q78" s="56">
        <v>134.53027081300007</v>
      </c>
      <c r="R78" s="56">
        <v>238.49663858100016</v>
      </c>
      <c r="S78" s="56">
        <v>146.13880328100004</v>
      </c>
      <c r="T78" s="56">
        <v>117.4123546119999</v>
      </c>
      <c r="U78" s="56">
        <v>75.97697246599995</v>
      </c>
      <c r="V78" s="56">
        <v>223.64378635800017</v>
      </c>
      <c r="W78" s="56">
        <v>-145.5298040630002</v>
      </c>
      <c r="X78" s="56">
        <v>21.702755380999889</v>
      </c>
      <c r="Y78" s="56">
        <v>-429.21123462499997</v>
      </c>
      <c r="Z78" s="56">
        <v>139.901162954</v>
      </c>
      <c r="AA78" s="56">
        <v>66.411024730999912</v>
      </c>
      <c r="AB78" s="56">
        <v>190.24193925699993</v>
      </c>
      <c r="AC78" s="56">
        <v>139.76771178499985</v>
      </c>
      <c r="AD78" s="56">
        <v>69.296488987999936</v>
      </c>
      <c r="AE78" s="56">
        <v>72.597620696999911</v>
      </c>
      <c r="AF78" s="56">
        <v>-30.511270880999973</v>
      </c>
      <c r="AG78" s="56">
        <v>78.788270981000124</v>
      </c>
      <c r="AH78" s="56">
        <v>60.526646639999882</v>
      </c>
      <c r="AI78" s="56">
        <v>80.122854818999812</v>
      </c>
      <c r="AJ78" s="56">
        <v>-98.815957535000109</v>
      </c>
      <c r="AK78" s="56">
        <v>-438.0028183979997</v>
      </c>
      <c r="AL78" s="56">
        <v>277.17796375399979</v>
      </c>
      <c r="AM78" s="56">
        <v>187.31224853300017</v>
      </c>
      <c r="AN78" s="56">
        <v>39.313336239000165</v>
      </c>
      <c r="AO78" s="56">
        <v>236.76308487000006</v>
      </c>
      <c r="AP78" s="56">
        <v>161.63459268</v>
      </c>
      <c r="AQ78" s="56">
        <v>-46.155716295999781</v>
      </c>
      <c r="AR78" s="56">
        <v>31.391341242000024</v>
      </c>
      <c r="AS78" s="56">
        <v>43.058025930999989</v>
      </c>
      <c r="AT78" s="56">
        <v>197.30908396600003</v>
      </c>
      <c r="AU78" s="56">
        <v>35.614470544999961</v>
      </c>
      <c r="AV78" s="56">
        <v>18.292428733000008</v>
      </c>
      <c r="AW78" s="56">
        <v>-845.20543952200023</v>
      </c>
      <c r="AX78" s="56">
        <v>158.82853564199999</v>
      </c>
      <c r="AY78" s="56">
        <v>55.51506656099987</v>
      </c>
      <c r="AZ78" s="56">
        <v>337.45072837000009</v>
      </c>
      <c r="BA78" s="56">
        <v>197.664442366</v>
      </c>
      <c r="BB78" s="56">
        <v>266.1027129040001</v>
      </c>
      <c r="BC78" s="56">
        <v>53.875037360999954</v>
      </c>
      <c r="BD78" s="56">
        <v>52.778092030000096</v>
      </c>
      <c r="BE78" s="56">
        <v>112.37795522900007</v>
      </c>
      <c r="BF78" s="56">
        <v>-40.892733459000084</v>
      </c>
      <c r="BG78" s="56">
        <v>98.739139678000043</v>
      </c>
      <c r="BH78" s="56">
        <v>64.649715227000002</v>
      </c>
      <c r="BI78" s="56">
        <v>-656.67039166299969</v>
      </c>
      <c r="BJ78" s="56">
        <v>400.24476932099998</v>
      </c>
      <c r="BK78" s="56">
        <v>298.86170286700002</v>
      </c>
      <c r="BL78" s="56">
        <v>91.526798771999822</v>
      </c>
      <c r="BM78" s="56">
        <v>147.02479896499989</v>
      </c>
      <c r="BN78" s="56">
        <v>382.32531541900028</v>
      </c>
      <c r="BO78" s="56">
        <v>149.00679044099985</v>
      </c>
      <c r="BP78" s="56">
        <v>135.95889996099999</v>
      </c>
      <c r="BQ78" s="56">
        <v>158.89548085600001</v>
      </c>
      <c r="BR78" s="56">
        <v>253.4607519220001</v>
      </c>
      <c r="BS78" s="56">
        <v>132.25372107199996</v>
      </c>
      <c r="BT78" s="56">
        <v>225.48657412400007</v>
      </c>
      <c r="BU78" s="56">
        <v>-582.70932671499963</v>
      </c>
      <c r="BV78" s="56">
        <v>293.50974475099997</v>
      </c>
      <c r="BW78" s="56">
        <v>150.88094388500002</v>
      </c>
      <c r="BX78" s="56">
        <v>-84.757226166999942</v>
      </c>
      <c r="BY78" s="56">
        <v>367.48935878000026</v>
      </c>
      <c r="BZ78" s="56">
        <v>157.53708737499974</v>
      </c>
      <c r="CA78" s="56">
        <v>-41.893159154999722</v>
      </c>
      <c r="CB78" s="56">
        <v>274.4891168210001</v>
      </c>
      <c r="CC78" s="56">
        <v>-9.4142310010001893</v>
      </c>
      <c r="CD78" s="56">
        <v>-29.472734140000114</v>
      </c>
      <c r="CE78" s="56">
        <v>-132.1360421250001</v>
      </c>
      <c r="CF78" s="56">
        <v>184.55349605299986</v>
      </c>
      <c r="CG78" s="56">
        <v>-1036.970855308</v>
      </c>
      <c r="CH78" s="56">
        <v>305.58702180699999</v>
      </c>
      <c r="CI78" s="56">
        <v>157.28962577299995</v>
      </c>
      <c r="CJ78" s="56">
        <v>49.302978902000049</v>
      </c>
      <c r="CK78" s="56">
        <v>194.97020558000006</v>
      </c>
      <c r="CL78" s="56">
        <v>491.94684902400024</v>
      </c>
      <c r="CM78" s="56">
        <v>67.700155887000221</v>
      </c>
      <c r="CN78" s="56">
        <v>264.48595711699971</v>
      </c>
      <c r="CO78" s="56">
        <v>39.162199359000027</v>
      </c>
      <c r="CP78" s="56">
        <v>204.29020880299967</v>
      </c>
      <c r="CQ78" s="56">
        <v>203.94735509300043</v>
      </c>
      <c r="CR78" s="56">
        <v>183.50915183799987</v>
      </c>
      <c r="CS78" s="56">
        <v>-911.09573950000026</v>
      </c>
      <c r="CT78" s="56">
        <v>467.11866863900002</v>
      </c>
      <c r="CU78" s="56">
        <v>377.94518084100002</v>
      </c>
      <c r="CV78" s="56">
        <v>-19.840132668000422</v>
      </c>
      <c r="CW78" s="56">
        <v>228.67871576799965</v>
      </c>
      <c r="CX78" s="56">
        <v>346.91176310699944</v>
      </c>
      <c r="CY78" s="56">
        <v>102.32687559800013</v>
      </c>
      <c r="CZ78" s="56">
        <v>483.6253010680004</v>
      </c>
      <c r="DA78" s="56">
        <v>-91.555627539000199</v>
      </c>
      <c r="DB78" s="56">
        <v>315.41585594599974</v>
      </c>
      <c r="DC78" s="56">
        <v>350.86905565100017</v>
      </c>
      <c r="DD78" s="56">
        <v>174.99344042799936</v>
      </c>
      <c r="DE78" s="56">
        <v>-1682.4397675899995</v>
      </c>
      <c r="DF78" s="56">
        <v>555.38356440699988</v>
      </c>
      <c r="DG78" s="56">
        <v>-28.183670538999664</v>
      </c>
      <c r="DH78" s="56">
        <v>-190.28634342300015</v>
      </c>
      <c r="DI78" s="56">
        <v>-78.463535966000165</v>
      </c>
      <c r="DJ78" s="56">
        <v>302.20842944200035</v>
      </c>
      <c r="DK78" s="56">
        <v>-85.801405492000185</v>
      </c>
      <c r="DL78" s="56">
        <v>121.0377578409998</v>
      </c>
      <c r="DM78" s="56">
        <v>-122.25993873899947</v>
      </c>
      <c r="DN78" s="56">
        <v>339.87400918900005</v>
      </c>
      <c r="DO78" s="56">
        <v>-122.64608184700049</v>
      </c>
      <c r="DP78" s="56">
        <v>-835.31014521399982</v>
      </c>
      <c r="DQ78" s="56">
        <v>-1669.7658548180002</v>
      </c>
      <c r="DR78" s="56">
        <v>-176.3693998530004</v>
      </c>
      <c r="DS78" s="56">
        <v>-401.56292738399964</v>
      </c>
      <c r="DT78" s="56">
        <v>-220.37163734699959</v>
      </c>
      <c r="DU78" s="56">
        <v>206.72490660799994</v>
      </c>
      <c r="DV78" s="56">
        <v>196.98515179600042</v>
      </c>
      <c r="DW78" s="56">
        <v>-93.217772245000276</v>
      </c>
      <c r="DX78" s="56">
        <v>164.33099645299961</v>
      </c>
      <c r="DY78" s="56">
        <v>-10.942403329999792</v>
      </c>
      <c r="DZ78" s="56">
        <v>79.001255482000204</v>
      </c>
      <c r="EA78" s="56">
        <v>-144.64229316800009</v>
      </c>
      <c r="EB78" s="56">
        <v>-14.172959132999608</v>
      </c>
      <c r="EC78" s="56">
        <v>-1695.0594976059988</v>
      </c>
      <c r="ED78" s="56">
        <v>276.99235379700013</v>
      </c>
      <c r="EE78" s="56">
        <v>10.826967013999848</v>
      </c>
      <c r="EF78" s="56">
        <v>-268.03709551600008</v>
      </c>
      <c r="EG78" s="56">
        <v>102.34591013700023</v>
      </c>
      <c r="EH78" s="56">
        <v>697.13406141899964</v>
      </c>
      <c r="EI78" s="56">
        <v>-400.29271467600029</v>
      </c>
      <c r="EJ78" s="56">
        <v>80.663675155999954</v>
      </c>
      <c r="EK78" s="56">
        <v>-455.9837542569997</v>
      </c>
      <c r="EL78" s="56">
        <v>167.53378400699972</v>
      </c>
      <c r="EM78" s="56">
        <v>-89.089216140000133</v>
      </c>
      <c r="EN78" s="56">
        <v>-268.3137341330002</v>
      </c>
      <c r="EO78" s="56">
        <v>-1385.1976953480003</v>
      </c>
      <c r="EP78" s="56">
        <v>217.74517171199997</v>
      </c>
      <c r="EQ78" s="56">
        <v>-364.65290830700008</v>
      </c>
      <c r="ER78" s="56">
        <v>-308.27585676600017</v>
      </c>
      <c r="ES78" s="56">
        <v>28.144936753000479</v>
      </c>
      <c r="ET78" s="56">
        <v>384.36855439700031</v>
      </c>
      <c r="EU78" s="56">
        <v>-156.90815689799987</v>
      </c>
      <c r="EV78" s="56">
        <v>-387.3179150400008</v>
      </c>
      <c r="EW78" s="56">
        <v>-527.44812518300023</v>
      </c>
      <c r="EX78" s="56">
        <v>-240.65538498899991</v>
      </c>
      <c r="EY78" s="56">
        <v>-215.9241577439999</v>
      </c>
      <c r="EZ78" s="56">
        <v>17.600341911999976</v>
      </c>
      <c r="FA78" s="56">
        <v>-969.60366034000072</v>
      </c>
      <c r="FB78" s="56">
        <v>102.98202702900008</v>
      </c>
      <c r="FC78" s="56">
        <v>-128.18302218499974</v>
      </c>
      <c r="FD78" s="56">
        <v>-423.71009426700027</v>
      </c>
      <c r="FE78" s="56">
        <v>100.14005148799993</v>
      </c>
      <c r="FF78" s="56">
        <v>-55.996701161999852</v>
      </c>
      <c r="FG78" s="56">
        <v>-288.49064343699985</v>
      </c>
      <c r="FH78" s="56">
        <v>-394.23271163900012</v>
      </c>
      <c r="FI78" s="56">
        <v>169.58163056900025</v>
      </c>
      <c r="FJ78" s="56">
        <v>107.13316715599996</v>
      </c>
      <c r="FK78" s="56">
        <v>-546.88989490500001</v>
      </c>
      <c r="FL78" s="56">
        <v>333.17496081099961</v>
      </c>
      <c r="FM78" s="56">
        <v>-1190.4566153139997</v>
      </c>
      <c r="FN78" s="56">
        <v>-461.1164463700008</v>
      </c>
      <c r="FO78" s="56">
        <v>-26.44361624300015</v>
      </c>
      <c r="FP78" s="56">
        <v>-250.73072620700003</v>
      </c>
      <c r="FQ78" s="56">
        <v>-247.3953676270001</v>
      </c>
      <c r="FR78" s="56">
        <v>176.75073608200006</v>
      </c>
      <c r="FS78" s="56">
        <v>-156.47284462699974</v>
      </c>
      <c r="FT78" s="56">
        <v>162.07868231899977</v>
      </c>
      <c r="FU78" s="56">
        <v>-170.90792121500021</v>
      </c>
      <c r="FV78" s="56">
        <v>217.6909897010006</v>
      </c>
      <c r="FW78" s="56">
        <v>-410.00635042699946</v>
      </c>
      <c r="FX78" s="56">
        <v>14.021257608000383</v>
      </c>
      <c r="FY78" s="56">
        <v>-1235.4623285690009</v>
      </c>
      <c r="FZ78" s="56">
        <v>371.47814884099978</v>
      </c>
      <c r="GA78" s="56">
        <v>-787.65454857899999</v>
      </c>
      <c r="GB78" s="57">
        <v>-476.54834109899997</v>
      </c>
      <c r="GC78" s="57">
        <v>95.954822166000099</v>
      </c>
      <c r="GD78" s="58">
        <v>125.50541004399992</v>
      </c>
      <c r="GE78" s="57">
        <v>-277.55368637300029</v>
      </c>
      <c r="GF78" s="59">
        <v>53.91593699099991</v>
      </c>
      <c r="GG78" s="57">
        <v>-198.77845412800013</v>
      </c>
      <c r="GH78" s="57">
        <v>261.59282298900064</v>
      </c>
      <c r="GI78" s="57">
        <v>-188.64411301699977</v>
      </c>
      <c r="GJ78" s="57">
        <v>127.31359323699985</v>
      </c>
      <c r="GK78" s="57">
        <v>-2083.74296005</v>
      </c>
      <c r="GL78" s="60">
        <v>387.01956254799961</v>
      </c>
      <c r="GM78" s="60">
        <v>-182.3411990389998</v>
      </c>
      <c r="GN78" s="60">
        <v>-927.2983317529995</v>
      </c>
      <c r="GO78" s="60">
        <v>19.92355807399997</v>
      </c>
      <c r="GP78" s="60">
        <v>-299.45031531099954</v>
      </c>
      <c r="GQ78" s="60">
        <v>-434.10212130900015</v>
      </c>
      <c r="GR78" s="60">
        <v>-109.13912025699926</v>
      </c>
      <c r="GS78" s="60">
        <v>-1016.1664646630013</v>
      </c>
      <c r="GT78" s="60">
        <v>-456.69300907000036</v>
      </c>
      <c r="GU78" s="60">
        <v>-532.05094651399941</v>
      </c>
      <c r="GV78" s="60">
        <v>-552.45250910600055</v>
      </c>
      <c r="GW78" s="60">
        <v>-2547.9457134830004</v>
      </c>
      <c r="GX78" s="60">
        <v>-69.298189481000037</v>
      </c>
      <c r="GY78" s="60">
        <v>-236.44698779099934</v>
      </c>
      <c r="GZ78" s="60">
        <v>-1583.422517551269</v>
      </c>
      <c r="HA78" s="60">
        <v>-2359.7251105040009</v>
      </c>
      <c r="HB78" s="60">
        <v>-1197.663639759</v>
      </c>
      <c r="HC78" s="60">
        <v>-848.74726941299923</v>
      </c>
      <c r="HD78" s="60">
        <v>-996.75975796459761</v>
      </c>
      <c r="HE78" s="60">
        <v>-749.95756067999957</v>
      </c>
      <c r="HF78" s="60"/>
      <c r="HG78" s="60"/>
      <c r="HH78" s="60"/>
      <c r="HI78" s="60"/>
    </row>
    <row r="79" spans="1:217" ht="5.25" customHeight="1">
      <c r="A79" s="29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</row>
    <row r="80" spans="1:217">
      <c r="A80" s="6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</row>
    <row r="81" spans="1:217" ht="10.5" customHeight="1">
      <c r="A81" s="26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</row>
    <row r="82" spans="1:217" s="32" customFormat="1" ht="14.25">
      <c r="A82" s="26" t="s">
        <v>96</v>
      </c>
      <c r="B82" s="27">
        <v>60.901114898000003</v>
      </c>
      <c r="C82" s="27">
        <v>59.909507734000002</v>
      </c>
      <c r="D82" s="27">
        <v>-53.414181331999998</v>
      </c>
      <c r="E82" s="27">
        <v>-75.484996041999992</v>
      </c>
      <c r="F82" s="27">
        <v>-97.877275433999998</v>
      </c>
      <c r="G82" s="27">
        <v>17.032486074999998</v>
      </c>
      <c r="H82" s="27">
        <v>-41.123643770999998</v>
      </c>
      <c r="I82" s="27">
        <v>53.958562941000004</v>
      </c>
      <c r="J82" s="27">
        <v>112.92299386099999</v>
      </c>
      <c r="K82" s="27">
        <v>146.10905106000001</v>
      </c>
      <c r="L82" s="27">
        <v>70.336273978999998</v>
      </c>
      <c r="M82" s="27">
        <v>47.937750424000001</v>
      </c>
      <c r="N82" s="27">
        <v>-73.015062244000006</v>
      </c>
      <c r="O82" s="27">
        <v>-125.541879361</v>
      </c>
      <c r="P82" s="27">
        <v>50.338210992999997</v>
      </c>
      <c r="Q82" s="27">
        <v>61.493775091999993</v>
      </c>
      <c r="R82" s="27">
        <v>247.696654142</v>
      </c>
      <c r="S82" s="27">
        <v>-95.388339310999996</v>
      </c>
      <c r="T82" s="27">
        <v>135.79103895100002</v>
      </c>
      <c r="U82" s="27">
        <v>165.17124002</v>
      </c>
      <c r="V82" s="27">
        <v>124.855582656</v>
      </c>
      <c r="W82" s="27">
        <v>67.011477299999996</v>
      </c>
      <c r="X82" s="27">
        <v>-31.127448889</v>
      </c>
      <c r="Y82" s="27">
        <v>-443.44301780199999</v>
      </c>
      <c r="Z82" s="27">
        <v>156.15112675161532</v>
      </c>
      <c r="AA82" s="27">
        <v>-30.469320927919423</v>
      </c>
      <c r="AB82" s="27">
        <v>57.567274783593305</v>
      </c>
      <c r="AC82" s="27">
        <v>168.27590575955372</v>
      </c>
      <c r="AD82" s="27">
        <v>52.175551164582721</v>
      </c>
      <c r="AE82" s="27">
        <v>-24.976748867987954</v>
      </c>
      <c r="AF82" s="27">
        <v>50.051557254019791</v>
      </c>
      <c r="AG82" s="27">
        <v>-41.166236566964798</v>
      </c>
      <c r="AH82" s="27">
        <v>111.11757547542105</v>
      </c>
      <c r="AI82" s="27">
        <v>105.14541769968849</v>
      </c>
      <c r="AJ82" s="27">
        <v>-156.25923898256775</v>
      </c>
      <c r="AK82" s="27">
        <v>-326.09042983799344</v>
      </c>
      <c r="AL82" s="27">
        <v>121.42637135391696</v>
      </c>
      <c r="AM82" s="27">
        <v>7.3877224376704662</v>
      </c>
      <c r="AN82" s="27">
        <v>-10.721002240968202</v>
      </c>
      <c r="AO82" s="27">
        <v>130.50550570272173</v>
      </c>
      <c r="AP82" s="27">
        <v>282.78218673682585</v>
      </c>
      <c r="AQ82" s="27">
        <v>-39.524256922739148</v>
      </c>
      <c r="AR82" s="27">
        <v>-104.14256322923603</v>
      </c>
      <c r="AS82" s="27">
        <v>-33.271788872619787</v>
      </c>
      <c r="AT82" s="27">
        <v>217.68138982543334</v>
      </c>
      <c r="AU82" s="27">
        <v>1.6985824134301952</v>
      </c>
      <c r="AV82" s="27">
        <v>243.57525522060223</v>
      </c>
      <c r="AW82" s="27">
        <v>-333.15387542796299</v>
      </c>
      <c r="AX82" s="27">
        <v>-61.151139638444832</v>
      </c>
      <c r="AY82" s="27">
        <v>-154.84497997231574</v>
      </c>
      <c r="AZ82" s="27">
        <v>263.98239939758685</v>
      </c>
      <c r="BA82" s="27">
        <v>156.97250008029701</v>
      </c>
      <c r="BB82" s="27">
        <v>364.14219888809225</v>
      </c>
      <c r="BC82" s="27">
        <v>28.769468592682507</v>
      </c>
      <c r="BD82" s="27">
        <v>64.398173126443581</v>
      </c>
      <c r="BE82" s="27">
        <v>23.983468320725489</v>
      </c>
      <c r="BF82" s="27">
        <v>0.50892027023970998</v>
      </c>
      <c r="BG82" s="27">
        <v>125.91074426091247</v>
      </c>
      <c r="BH82" s="27">
        <v>410.83611715529474</v>
      </c>
      <c r="BI82" s="27">
        <v>-291.19877937510171</v>
      </c>
      <c r="BJ82" s="27">
        <v>60.373985201711278</v>
      </c>
      <c r="BK82" s="27">
        <v>-49.787054656317679</v>
      </c>
      <c r="BL82" s="27">
        <v>36.955862381869615</v>
      </c>
      <c r="BM82" s="27">
        <v>133.44506498781729</v>
      </c>
      <c r="BN82" s="27">
        <v>339.9589035179024</v>
      </c>
      <c r="BO82" s="27">
        <v>99.282216640245721</v>
      </c>
      <c r="BP82" s="27">
        <v>163.82233888803805</v>
      </c>
      <c r="BQ82" s="27">
        <v>202.07118898032317</v>
      </c>
      <c r="BR82" s="27">
        <v>263.85468559849255</v>
      </c>
      <c r="BS82" s="27">
        <v>92.080244786072612</v>
      </c>
      <c r="BT82" s="27">
        <v>409.13479949878274</v>
      </c>
      <c r="BU82" s="27">
        <v>-411.89835536243612</v>
      </c>
      <c r="BV82" s="27">
        <v>-1.287764637</v>
      </c>
      <c r="BW82" s="27">
        <v>-30.660982690000001</v>
      </c>
      <c r="BX82" s="27">
        <v>139.524312409</v>
      </c>
      <c r="BY82" s="27">
        <v>-18.368042330999998</v>
      </c>
      <c r="BZ82" s="27">
        <v>-253.538022399</v>
      </c>
      <c r="CA82" s="27">
        <v>-485.94248786599996</v>
      </c>
      <c r="CB82" s="27">
        <v>154.65492788</v>
      </c>
      <c r="CC82" s="27">
        <v>-19.404089800999998</v>
      </c>
      <c r="CD82" s="27">
        <v>82.241294791000001</v>
      </c>
      <c r="CE82" s="27">
        <v>-90.209953036000002</v>
      </c>
      <c r="CF82" s="27">
        <v>-608.61387248699998</v>
      </c>
      <c r="CG82" s="27">
        <v>-280.54689562800002</v>
      </c>
      <c r="CH82" s="27">
        <v>-0.81307957799999997</v>
      </c>
      <c r="CI82" s="27">
        <v>-112.103914078</v>
      </c>
      <c r="CJ82" s="27">
        <v>-89.868756753999989</v>
      </c>
      <c r="CK82" s="27">
        <v>478.70201381599935</v>
      </c>
      <c r="CL82" s="27">
        <v>200.45361117800067</v>
      </c>
      <c r="CM82" s="27">
        <v>191.67916986099999</v>
      </c>
      <c r="CN82" s="27">
        <v>492.95165166100003</v>
      </c>
      <c r="CO82" s="27">
        <v>51.796910971999999</v>
      </c>
      <c r="CP82" s="27">
        <v>74.589977951000037</v>
      </c>
      <c r="CQ82" s="27">
        <v>253.6968793930003</v>
      </c>
      <c r="CR82" s="27">
        <v>223.89745510299906</v>
      </c>
      <c r="CS82" s="27">
        <v>87.917379564000854</v>
      </c>
      <c r="CT82" s="27">
        <v>-0.16212985399999999</v>
      </c>
      <c r="CU82" s="27">
        <v>122.80305293499981</v>
      </c>
      <c r="CV82" s="27">
        <v>-15.560324326000053</v>
      </c>
      <c r="CW82" s="27">
        <v>226.72847989700062</v>
      </c>
      <c r="CX82" s="27">
        <v>-319.71947736100009</v>
      </c>
      <c r="CY82" s="27">
        <v>-182.23683471800098</v>
      </c>
      <c r="CZ82" s="27">
        <v>-18.33813958899924</v>
      </c>
      <c r="DA82" s="27">
        <v>-487.50679729300026</v>
      </c>
      <c r="DB82" s="27">
        <v>84.502090647000074</v>
      </c>
      <c r="DC82" s="27">
        <v>-211.91146526400078</v>
      </c>
      <c r="DD82" s="27">
        <v>-89.078985344999751</v>
      </c>
      <c r="DE82" s="27">
        <v>-316.91452564999986</v>
      </c>
      <c r="DF82" s="27">
        <v>-5.6514644989999994</v>
      </c>
      <c r="DG82" s="27">
        <v>105.69974037399889</v>
      </c>
      <c r="DH82" s="27">
        <v>460.71958852100045</v>
      </c>
      <c r="DI82" s="27">
        <v>-257.22638984699921</v>
      </c>
      <c r="DJ82" s="27">
        <v>-99.960209877000651</v>
      </c>
      <c r="DK82" s="27">
        <v>-98.665894615999278</v>
      </c>
      <c r="DL82" s="27">
        <v>227.60186989199985</v>
      </c>
      <c r="DM82" s="27">
        <v>-399.96518437000026</v>
      </c>
      <c r="DN82" s="27">
        <v>389.53371406599996</v>
      </c>
      <c r="DO82" s="27">
        <v>-347.48842444600155</v>
      </c>
      <c r="DP82" s="27">
        <v>-513.72516608700016</v>
      </c>
      <c r="DQ82" s="27">
        <v>3639.2176673160011</v>
      </c>
      <c r="DR82" s="27">
        <v>-5.8430156069999999</v>
      </c>
      <c r="DS82" s="27">
        <v>-523.06873073399925</v>
      </c>
      <c r="DT82" s="27">
        <v>446.95481253599979</v>
      </c>
      <c r="DU82" s="27">
        <v>-447.9240533920007</v>
      </c>
      <c r="DV82" s="27">
        <v>314.60343373500018</v>
      </c>
      <c r="DW82" s="27">
        <v>-174.87505097400009</v>
      </c>
      <c r="DX82" s="27">
        <v>304.89349219200102</v>
      </c>
      <c r="DY82" s="27">
        <v>-97.129767166001898</v>
      </c>
      <c r="DZ82" s="27">
        <v>-175.39834251499838</v>
      </c>
      <c r="EA82" s="27">
        <v>-292.69562148300201</v>
      </c>
      <c r="EB82" s="27">
        <v>313.93589750200039</v>
      </c>
      <c r="EC82" s="27">
        <v>-59.626853573998389</v>
      </c>
      <c r="ED82" s="27">
        <v>60.933831718</v>
      </c>
      <c r="EE82" s="27">
        <v>-504.6926191150007</v>
      </c>
      <c r="EF82" s="27">
        <v>-211.30938951199943</v>
      </c>
      <c r="EG82" s="27">
        <v>142.33172921699969</v>
      </c>
      <c r="EH82" s="27">
        <v>-611.10143250599958</v>
      </c>
      <c r="EI82" s="27">
        <v>-964.42357168000126</v>
      </c>
      <c r="EJ82" s="27">
        <v>494.88195525100002</v>
      </c>
      <c r="EK82" s="27">
        <v>5.8370535730002509</v>
      </c>
      <c r="EL82" s="27">
        <v>902.30099560000076</v>
      </c>
      <c r="EM82" s="27">
        <v>-429.54457617800142</v>
      </c>
      <c r="EN82" s="27">
        <v>172.92547301100092</v>
      </c>
      <c r="EO82" s="27">
        <v>303.04156004399965</v>
      </c>
      <c r="EP82" s="27">
        <v>165.60317110735704</v>
      </c>
      <c r="EQ82" s="27">
        <v>-251.55380741911739</v>
      </c>
      <c r="ER82" s="27">
        <v>-514.62454893444669</v>
      </c>
      <c r="ES82" s="27">
        <v>1413.1935413924489</v>
      </c>
      <c r="ET82" s="27">
        <v>639.41094449128718</v>
      </c>
      <c r="EU82" s="27">
        <v>140.72722479151167</v>
      </c>
      <c r="EV82" s="27">
        <v>-365.0106620435397</v>
      </c>
      <c r="EW82" s="27">
        <v>-325.84864068740723</v>
      </c>
      <c r="EX82" s="27">
        <v>-110.61968556472434</v>
      </c>
      <c r="EY82" s="27">
        <v>-123.42343145307991</v>
      </c>
      <c r="EZ82" s="27">
        <v>81.814711650690683</v>
      </c>
      <c r="FA82" s="27">
        <v>-474.69899872546932</v>
      </c>
      <c r="FB82" s="27">
        <v>2.9460292339428613</v>
      </c>
      <c r="FC82" s="27">
        <v>-648.99779514721649</v>
      </c>
      <c r="FD82" s="27">
        <v>2782.2777393194128</v>
      </c>
      <c r="FE82" s="27">
        <v>-26.560892439307512</v>
      </c>
      <c r="FF82" s="27">
        <v>181.22842147439766</v>
      </c>
      <c r="FG82" s="27">
        <v>-895.71869659265678</v>
      </c>
      <c r="FH82" s="27">
        <v>-213.49953969656221</v>
      </c>
      <c r="FI82" s="27">
        <v>-177.25248418724749</v>
      </c>
      <c r="FJ82" s="27">
        <v>3.9144865740000001</v>
      </c>
      <c r="FK82" s="27">
        <v>4.0773470890000008</v>
      </c>
      <c r="FL82" s="27">
        <v>6.6688344329999998</v>
      </c>
      <c r="FM82" s="27">
        <v>148.04797949599998</v>
      </c>
      <c r="FN82" s="27">
        <v>-431.8327142949168</v>
      </c>
      <c r="FO82" s="27">
        <v>-675.27756810179244</v>
      </c>
      <c r="FP82" s="27">
        <v>2472.8614334204563</v>
      </c>
      <c r="FQ82" s="27">
        <v>-451.06178444554763</v>
      </c>
      <c r="FR82" s="27">
        <v>751.54178382891848</v>
      </c>
      <c r="FS82" s="27">
        <v>163.89526698804548</v>
      </c>
      <c r="FT82" s="27">
        <v>134.26018143078232</v>
      </c>
      <c r="FU82" s="27">
        <v>-84.192753156064171</v>
      </c>
      <c r="FV82" s="27">
        <v>194.8124067618146</v>
      </c>
      <c r="FW82" s="27">
        <v>-180.44974189044848</v>
      </c>
      <c r="FX82" s="27">
        <v>546.32793275661538</v>
      </c>
      <c r="FY82" s="27">
        <v>-1422.2336672820293</v>
      </c>
      <c r="FZ82" s="27">
        <v>-119.55913755403709</v>
      </c>
      <c r="GA82" s="27">
        <v>-568.85864377838129</v>
      </c>
      <c r="GB82" s="22">
        <v>2727.0695052573355</v>
      </c>
      <c r="GC82" s="22">
        <v>512.48785070360441</v>
      </c>
      <c r="GD82" s="22">
        <v>-397.37336007662208</v>
      </c>
      <c r="GE82" s="22">
        <v>76.697053163324028</v>
      </c>
      <c r="GF82" s="22">
        <v>261.74838245937536</v>
      </c>
      <c r="GG82" s="22">
        <v>-448.00398911473707</v>
      </c>
      <c r="GH82" s="22">
        <v>203.05644119199999</v>
      </c>
      <c r="GI82" s="22">
        <v>63.631272240999998</v>
      </c>
      <c r="GJ82" s="22">
        <v>200.020666052</v>
      </c>
      <c r="GK82" s="22">
        <v>14.501970217000002</v>
      </c>
      <c r="GL82" s="23">
        <v>252.04210729598248</v>
      </c>
      <c r="GM82" s="23">
        <v>2945.4921108778226</v>
      </c>
      <c r="GN82" s="23">
        <v>-351.6457761475146</v>
      </c>
      <c r="GO82" s="23">
        <v>-203.17881818133529</v>
      </c>
      <c r="GP82" s="23">
        <v>-216.71122772283232</v>
      </c>
      <c r="GQ82" s="23">
        <v>-657.34216596689816</v>
      </c>
      <c r="GR82" s="23">
        <v>-265.80683335795453</v>
      </c>
      <c r="GS82" s="23">
        <v>-493.29476197192042</v>
      </c>
      <c r="GT82" s="23">
        <v>-331.66584404301341</v>
      </c>
      <c r="GU82" s="23">
        <v>569.82314330622046</v>
      </c>
      <c r="GV82" s="23">
        <v>306.01359433399398</v>
      </c>
      <c r="GW82" s="23">
        <v>-1848.3869976367844</v>
      </c>
      <c r="GX82" s="23">
        <v>3265.1092217005939</v>
      </c>
      <c r="GY82" s="23">
        <v>332.63781257375592</v>
      </c>
      <c r="GZ82" s="23">
        <v>2747.2876135053912</v>
      </c>
      <c r="HA82" s="23">
        <v>5780.6440161487126</v>
      </c>
      <c r="HB82" s="23">
        <v>-1472.5118649612907</v>
      </c>
      <c r="HC82" s="23">
        <v>-566.98698193820314</v>
      </c>
      <c r="HD82" s="23">
        <v>-1617.8525709465098</v>
      </c>
      <c r="HE82" s="23">
        <v>5.7484226850000013</v>
      </c>
      <c r="HF82" s="23"/>
      <c r="HG82" s="23"/>
      <c r="HH82" s="23"/>
      <c r="HI82" s="23"/>
    </row>
    <row r="83" spans="1:217">
      <c r="A83" s="29" t="s">
        <v>97</v>
      </c>
      <c r="B83" s="2">
        <v>60.901114898000003</v>
      </c>
      <c r="C83" s="2">
        <v>59.909507734000002</v>
      </c>
      <c r="D83" s="2">
        <v>-53.414181331999998</v>
      </c>
      <c r="E83" s="2">
        <v>-75.484996041999992</v>
      </c>
      <c r="F83" s="2">
        <v>-97.877275433999998</v>
      </c>
      <c r="G83" s="2">
        <v>17.032486074999998</v>
      </c>
      <c r="H83" s="2">
        <v>-41.123643770999998</v>
      </c>
      <c r="I83" s="2">
        <v>53.958562941000004</v>
      </c>
      <c r="J83" s="2">
        <v>112.92299386099999</v>
      </c>
      <c r="K83" s="2">
        <v>146.10905106000001</v>
      </c>
      <c r="L83" s="2">
        <v>70.336273978999998</v>
      </c>
      <c r="M83" s="2">
        <v>47.937750424000001</v>
      </c>
      <c r="N83" s="2">
        <v>-73.015062244000006</v>
      </c>
      <c r="O83" s="2">
        <v>-125.541879361</v>
      </c>
      <c r="P83" s="2">
        <v>50.338210992999997</v>
      </c>
      <c r="Q83" s="2">
        <v>61.493775091999993</v>
      </c>
      <c r="R83" s="2">
        <v>247.696654142</v>
      </c>
      <c r="S83" s="2">
        <v>-95.388339310999996</v>
      </c>
      <c r="T83" s="2">
        <v>135.79103895100002</v>
      </c>
      <c r="U83" s="2">
        <v>165.17124002</v>
      </c>
      <c r="V83" s="2">
        <v>124.855582656</v>
      </c>
      <c r="W83" s="2">
        <v>67.011477299999996</v>
      </c>
      <c r="X83" s="2">
        <v>-31.127448889</v>
      </c>
      <c r="Y83" s="2">
        <v>-443.44301780199999</v>
      </c>
      <c r="Z83" s="2">
        <v>156.15112675161532</v>
      </c>
      <c r="AA83" s="2">
        <v>-30.469320927919423</v>
      </c>
      <c r="AB83" s="2">
        <v>57.567274783593305</v>
      </c>
      <c r="AC83" s="2">
        <v>168.27590575955372</v>
      </c>
      <c r="AD83" s="2">
        <v>52.175551164582721</v>
      </c>
      <c r="AE83" s="2">
        <v>-24.976748867987954</v>
      </c>
      <c r="AF83" s="2">
        <v>50.051557254019791</v>
      </c>
      <c r="AG83" s="2">
        <v>-41.166236566964798</v>
      </c>
      <c r="AH83" s="2">
        <v>111.11757547542105</v>
      </c>
      <c r="AI83" s="2">
        <v>105.14541769968849</v>
      </c>
      <c r="AJ83" s="2">
        <v>-156.25923898256775</v>
      </c>
      <c r="AK83" s="2">
        <v>-326.09042983799344</v>
      </c>
      <c r="AL83" s="2">
        <v>121.42637135391696</v>
      </c>
      <c r="AM83" s="2">
        <v>7.3877224376704662</v>
      </c>
      <c r="AN83" s="2">
        <v>-10.721002240968202</v>
      </c>
      <c r="AO83" s="2">
        <v>130.50550570272173</v>
      </c>
      <c r="AP83" s="2">
        <v>282.78218673682585</v>
      </c>
      <c r="AQ83" s="2">
        <v>-39.524256922739148</v>
      </c>
      <c r="AR83" s="2">
        <v>-104.14256322923603</v>
      </c>
      <c r="AS83" s="2">
        <v>-33.271788872619787</v>
      </c>
      <c r="AT83" s="2">
        <v>217.68138982543334</v>
      </c>
      <c r="AU83" s="2">
        <v>1.6985824134301952</v>
      </c>
      <c r="AV83" s="2">
        <v>243.57525522060223</v>
      </c>
      <c r="AW83" s="2">
        <v>-333.15387542796299</v>
      </c>
      <c r="AX83" s="2">
        <v>-61.151139638444832</v>
      </c>
      <c r="AY83" s="2">
        <v>-154.84497997231574</v>
      </c>
      <c r="AZ83" s="2">
        <v>263.98239939758685</v>
      </c>
      <c r="BA83" s="2">
        <v>156.97250008029701</v>
      </c>
      <c r="BB83" s="2">
        <v>364.14219888809225</v>
      </c>
      <c r="BC83" s="2">
        <v>28.769468592682507</v>
      </c>
      <c r="BD83" s="2">
        <v>64.398173126443581</v>
      </c>
      <c r="BE83" s="2">
        <v>23.983468320725489</v>
      </c>
      <c r="BF83" s="2">
        <v>0.50892027023970998</v>
      </c>
      <c r="BG83" s="2">
        <v>125.91074426091247</v>
      </c>
      <c r="BH83" s="2">
        <v>410.83611715529474</v>
      </c>
      <c r="BI83" s="2">
        <v>-291.19877937510171</v>
      </c>
      <c r="BJ83" s="2">
        <v>60.373985201711278</v>
      </c>
      <c r="BK83" s="2">
        <v>-49.787054656317679</v>
      </c>
      <c r="BL83" s="2">
        <v>36.955862381869615</v>
      </c>
      <c r="BM83" s="2">
        <v>133.44506498781729</v>
      </c>
      <c r="BN83" s="2">
        <v>339.9589035179024</v>
      </c>
      <c r="BO83" s="2">
        <v>99.282216640245721</v>
      </c>
      <c r="BP83" s="2">
        <v>163.82233888803805</v>
      </c>
      <c r="BQ83" s="2">
        <v>202.07118898032317</v>
      </c>
      <c r="BR83" s="2">
        <v>263.85468559849255</v>
      </c>
      <c r="BS83" s="2">
        <v>92.080244786072612</v>
      </c>
      <c r="BT83" s="2">
        <v>409.13479949878274</v>
      </c>
      <c r="BU83" s="2">
        <v>-411.89835536243612</v>
      </c>
      <c r="BV83" s="2">
        <v>-1.287764637</v>
      </c>
      <c r="BW83" s="2">
        <v>-30.660982690000001</v>
      </c>
      <c r="BX83" s="2">
        <v>139.524312409</v>
      </c>
      <c r="BY83" s="2">
        <v>-18.368042330999998</v>
      </c>
      <c r="BZ83" s="2">
        <v>-253.538022399</v>
      </c>
      <c r="CA83" s="2">
        <v>-485.94248786599996</v>
      </c>
      <c r="CB83" s="2">
        <v>154.65492788</v>
      </c>
      <c r="CC83" s="2">
        <v>-19.404089800999998</v>
      </c>
      <c r="CD83" s="2">
        <v>82.241294791000001</v>
      </c>
      <c r="CE83" s="2">
        <v>-90.209953036000002</v>
      </c>
      <c r="CF83" s="2">
        <v>-608.61387248699998</v>
      </c>
      <c r="CG83" s="2">
        <v>-280.54689562800002</v>
      </c>
      <c r="CH83" s="2">
        <v>-0.81307957799999997</v>
      </c>
      <c r="CI83" s="2">
        <v>-112.103914078</v>
      </c>
      <c r="CJ83" s="2">
        <v>-89.868756753999989</v>
      </c>
      <c r="CK83" s="2">
        <v>478.70201381599935</v>
      </c>
      <c r="CL83" s="2">
        <v>200.45361117800067</v>
      </c>
      <c r="CM83" s="2">
        <v>191.67916986099999</v>
      </c>
      <c r="CN83" s="2">
        <v>492.95165166100003</v>
      </c>
      <c r="CO83" s="2">
        <v>51.796910971999999</v>
      </c>
      <c r="CP83" s="2">
        <v>74.589977951000037</v>
      </c>
      <c r="CQ83" s="2">
        <v>253.6968793930003</v>
      </c>
      <c r="CR83" s="2">
        <v>223.89745510299906</v>
      </c>
      <c r="CS83" s="2">
        <v>87.917379564000854</v>
      </c>
      <c r="CT83" s="2">
        <v>-0.16212985399999999</v>
      </c>
      <c r="CU83" s="2">
        <v>122.80305293499981</v>
      </c>
      <c r="CV83" s="2">
        <v>-15.560324326000053</v>
      </c>
      <c r="CW83" s="2">
        <v>226.72847989700062</v>
      </c>
      <c r="CX83" s="2">
        <v>-319.71947736100009</v>
      </c>
      <c r="CY83" s="2">
        <v>-182.23683471800098</v>
      </c>
      <c r="CZ83" s="2">
        <v>-18.33813958899924</v>
      </c>
      <c r="DA83" s="2">
        <v>-487.50679729300026</v>
      </c>
      <c r="DB83" s="2">
        <v>84.502090647000074</v>
      </c>
      <c r="DC83" s="2">
        <v>-211.91146526400078</v>
      </c>
      <c r="DD83" s="2">
        <v>-89.078985344999751</v>
      </c>
      <c r="DE83" s="2">
        <v>-316.91452564999986</v>
      </c>
      <c r="DF83" s="2">
        <v>-5.6514644989999994</v>
      </c>
      <c r="DG83" s="2">
        <v>105.69974037399889</v>
      </c>
      <c r="DH83" s="2">
        <v>460.71958852100045</v>
      </c>
      <c r="DI83" s="2">
        <v>-257.22638984699921</v>
      </c>
      <c r="DJ83" s="2">
        <v>-99.960209877000651</v>
      </c>
      <c r="DK83" s="2">
        <v>-98.665894615999278</v>
      </c>
      <c r="DL83" s="2">
        <v>227.60186989199985</v>
      </c>
      <c r="DM83" s="2">
        <v>-399.96518437000026</v>
      </c>
      <c r="DN83" s="2">
        <v>389.53371406599996</v>
      </c>
      <c r="DO83" s="2">
        <v>-347.48842444600155</v>
      </c>
      <c r="DP83" s="2">
        <v>-513.72516608700016</v>
      </c>
      <c r="DQ83" s="2">
        <v>3639.2176673160011</v>
      </c>
      <c r="DR83" s="2">
        <v>-5.8430156069999999</v>
      </c>
      <c r="DS83" s="2">
        <v>-523.06873073399925</v>
      </c>
      <c r="DT83" s="2">
        <v>446.95481253599979</v>
      </c>
      <c r="DU83" s="2">
        <v>-447.9240533920007</v>
      </c>
      <c r="DV83" s="2">
        <v>314.60343373500018</v>
      </c>
      <c r="DW83" s="2">
        <v>-174.87505097400009</v>
      </c>
      <c r="DX83" s="2">
        <v>304.89349219200102</v>
      </c>
      <c r="DY83" s="2">
        <v>-97.129767166001898</v>
      </c>
      <c r="DZ83" s="2">
        <v>-175.39834251499838</v>
      </c>
      <c r="EA83" s="2">
        <v>-292.69562148300201</v>
      </c>
      <c r="EB83" s="2">
        <v>313.93589750200039</v>
      </c>
      <c r="EC83" s="2">
        <v>-59.626853573998389</v>
      </c>
      <c r="ED83" s="2">
        <v>60.933831718</v>
      </c>
      <c r="EE83" s="2">
        <v>-504.6926191150007</v>
      </c>
      <c r="EF83" s="2">
        <v>-211.30938951199943</v>
      </c>
      <c r="EG83" s="2">
        <v>142.33172921699969</v>
      </c>
      <c r="EH83" s="2">
        <v>-611.10143250599958</v>
      </c>
      <c r="EI83" s="2">
        <v>-964.42357168000126</v>
      </c>
      <c r="EJ83" s="2">
        <v>494.88195525100002</v>
      </c>
      <c r="EK83" s="2">
        <v>5.8370535730002509</v>
      </c>
      <c r="EL83" s="2">
        <v>902.30099560000076</v>
      </c>
      <c r="EM83" s="2">
        <v>-429.54457617800142</v>
      </c>
      <c r="EN83" s="2">
        <v>172.92547301100092</v>
      </c>
      <c r="EO83" s="2">
        <v>303.04156004399965</v>
      </c>
      <c r="EP83" s="2">
        <v>165.60317110735704</v>
      </c>
      <c r="EQ83" s="2">
        <v>-251.55380741911739</v>
      </c>
      <c r="ER83" s="2">
        <v>-514.62454893444669</v>
      </c>
      <c r="ES83" s="2">
        <v>1413.1935413924489</v>
      </c>
      <c r="ET83" s="2">
        <v>639.41094449128718</v>
      </c>
      <c r="EU83" s="2">
        <v>140.72722479151167</v>
      </c>
      <c r="EV83" s="2">
        <v>-365.0106620435397</v>
      </c>
      <c r="EW83" s="2">
        <v>-325.84864068740723</v>
      </c>
      <c r="EX83" s="2">
        <v>-110.61968556472434</v>
      </c>
      <c r="EY83" s="2">
        <v>-123.42343145307991</v>
      </c>
      <c r="EZ83" s="2">
        <v>81.814711650690683</v>
      </c>
      <c r="FA83" s="2">
        <v>-474.69899872546932</v>
      </c>
      <c r="FB83" s="2">
        <v>2.9460292339428613</v>
      </c>
      <c r="FC83" s="2">
        <v>-648.99779514721649</v>
      </c>
      <c r="FD83" s="2">
        <v>2782.2777393194128</v>
      </c>
      <c r="FE83" s="2">
        <v>-26.560892439307512</v>
      </c>
      <c r="FF83" s="2">
        <v>181.22842147439766</v>
      </c>
      <c r="FG83" s="2">
        <v>-895.71869659265678</v>
      </c>
      <c r="FH83" s="2">
        <v>-213.49953969656221</v>
      </c>
      <c r="FI83" s="2">
        <v>-177.25248418724749</v>
      </c>
      <c r="FJ83" s="2">
        <v>3.9144865740000001</v>
      </c>
      <c r="FK83" s="2">
        <v>4.0773470890000008</v>
      </c>
      <c r="FL83" s="2">
        <v>6.6688344329999998</v>
      </c>
      <c r="FM83" s="2">
        <v>148.04797949599998</v>
      </c>
      <c r="FN83" s="2">
        <v>-431.8327142949168</v>
      </c>
      <c r="FO83" s="2">
        <v>-675.27756810179244</v>
      </c>
      <c r="FP83" s="2">
        <v>2472.8614334204563</v>
      </c>
      <c r="FQ83" s="2">
        <v>-451.06178444554763</v>
      </c>
      <c r="FR83" s="2">
        <v>751.54178382891848</v>
      </c>
      <c r="FS83" s="2">
        <v>163.89526698804548</v>
      </c>
      <c r="FT83" s="2">
        <v>134.26018143078232</v>
      </c>
      <c r="FU83" s="2">
        <v>-84.192753156064171</v>
      </c>
      <c r="FV83" s="2">
        <v>194.8124067618146</v>
      </c>
      <c r="FW83" s="2">
        <v>-180.44974189044848</v>
      </c>
      <c r="FX83" s="2">
        <v>546.32793275661538</v>
      </c>
      <c r="FY83" s="2">
        <v>-1422.2336672820293</v>
      </c>
      <c r="FZ83" s="2">
        <v>-119.55913755403709</v>
      </c>
      <c r="GA83" s="2">
        <v>-568.85864377838129</v>
      </c>
      <c r="GB83" s="22">
        <v>2727.0695052573355</v>
      </c>
      <c r="GC83" s="22">
        <v>512.48785070360441</v>
      </c>
      <c r="GD83" s="22">
        <v>-397.37336007662208</v>
      </c>
      <c r="GE83" s="22">
        <v>76.697053163324028</v>
      </c>
      <c r="GF83" s="22">
        <v>261.74838245937536</v>
      </c>
      <c r="GG83" s="22">
        <v>-448.00398911473707</v>
      </c>
      <c r="GH83" s="22">
        <v>203.05644119199999</v>
      </c>
      <c r="GI83" s="22">
        <v>63.631272240999998</v>
      </c>
      <c r="GJ83" s="22">
        <v>200.020666052</v>
      </c>
      <c r="GK83" s="22">
        <v>14.501970217000002</v>
      </c>
      <c r="GL83" s="23">
        <v>252.04210729598248</v>
      </c>
      <c r="GM83" s="23">
        <v>2945.4921108778226</v>
      </c>
      <c r="GN83" s="23">
        <v>-351.6457761475146</v>
      </c>
      <c r="GO83" s="23">
        <v>-203.17881818133529</v>
      </c>
      <c r="GP83" s="23">
        <v>-216.71122772283232</v>
      </c>
      <c r="GQ83" s="23">
        <v>-657.34216596689816</v>
      </c>
      <c r="GR83" s="23">
        <v>-265.80683335795453</v>
      </c>
      <c r="GS83" s="23">
        <v>-493.29476197192042</v>
      </c>
      <c r="GT83" s="23">
        <v>-331.66584404301341</v>
      </c>
      <c r="GU83" s="23">
        <v>569.82314330622046</v>
      </c>
      <c r="GV83" s="23">
        <v>306.01359433399398</v>
      </c>
      <c r="GW83" s="23">
        <v>-1848.3869976367844</v>
      </c>
      <c r="GX83" s="23">
        <v>3265.1092217005939</v>
      </c>
      <c r="GY83" s="23">
        <v>332.63781257375592</v>
      </c>
      <c r="GZ83" s="23">
        <v>2747.2876135053912</v>
      </c>
      <c r="HA83" s="23">
        <v>5780.6440161487126</v>
      </c>
      <c r="HB83" s="23">
        <v>-1472.5118649612907</v>
      </c>
      <c r="HC83" s="23">
        <v>-566.98698193820314</v>
      </c>
      <c r="HD83" s="23">
        <v>-1617.8525709465098</v>
      </c>
      <c r="HE83" s="23">
        <v>5.7484226850000013</v>
      </c>
      <c r="HF83" s="23"/>
      <c r="HG83" s="23"/>
      <c r="HH83" s="23"/>
      <c r="HI83" s="23"/>
    </row>
    <row r="84" spans="1:217">
      <c r="A84" s="29" t="s">
        <v>98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0</v>
      </c>
      <c r="DZ84" s="2">
        <v>0</v>
      </c>
      <c r="EA84" s="2">
        <v>0</v>
      </c>
      <c r="EB84" s="2">
        <v>0</v>
      </c>
      <c r="EC84" s="2">
        <v>0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2">
        <v>0</v>
      </c>
      <c r="GC84" s="22">
        <v>0</v>
      </c>
      <c r="GD84" s="22">
        <v>0</v>
      </c>
      <c r="GE84" s="22">
        <v>0</v>
      </c>
      <c r="GF84" s="22">
        <v>0</v>
      </c>
      <c r="GG84" s="22">
        <v>0</v>
      </c>
      <c r="GH84" s="22">
        <v>0</v>
      </c>
      <c r="GI84" s="22">
        <v>0</v>
      </c>
      <c r="GJ84" s="22">
        <v>0</v>
      </c>
      <c r="GK84" s="22">
        <v>0</v>
      </c>
      <c r="GL84" s="23">
        <v>0</v>
      </c>
      <c r="GM84" s="23">
        <v>0</v>
      </c>
      <c r="GN84" s="23">
        <v>0</v>
      </c>
      <c r="GO84" s="23">
        <v>0</v>
      </c>
      <c r="GP84" s="23">
        <v>0</v>
      </c>
      <c r="GQ84" s="23">
        <v>0</v>
      </c>
      <c r="GR84" s="23">
        <v>0</v>
      </c>
      <c r="GS84" s="23">
        <v>0</v>
      </c>
      <c r="GT84" s="23">
        <v>0</v>
      </c>
      <c r="GU84" s="23">
        <v>0</v>
      </c>
      <c r="GV84" s="23">
        <v>0</v>
      </c>
      <c r="GW84" s="23">
        <v>0</v>
      </c>
      <c r="GX84" s="23">
        <v>0</v>
      </c>
      <c r="GY84" s="23">
        <v>0</v>
      </c>
      <c r="GZ84" s="23">
        <v>0</v>
      </c>
      <c r="HA84" s="23">
        <v>0</v>
      </c>
      <c r="HB84" s="23">
        <v>0</v>
      </c>
      <c r="HC84" s="23">
        <v>0</v>
      </c>
      <c r="HD84" s="23">
        <v>0</v>
      </c>
      <c r="HE84" s="23">
        <v>0</v>
      </c>
      <c r="HF84" s="23"/>
      <c r="HG84" s="23"/>
      <c r="HH84" s="23"/>
      <c r="HI84" s="23"/>
    </row>
    <row r="85" spans="1:217" s="32" customFormat="1" ht="14.25">
      <c r="A85" s="26" t="s">
        <v>99</v>
      </c>
      <c r="B85" s="27">
        <v>29.174172669999997</v>
      </c>
      <c r="C85" s="27">
        <v>-32.418818522999992</v>
      </c>
      <c r="D85" s="27">
        <v>3.3663115250000004</v>
      </c>
      <c r="E85" s="27">
        <v>-38.970502341999989</v>
      </c>
      <c r="F85" s="27">
        <v>-46.333394913999989</v>
      </c>
      <c r="G85" s="27">
        <v>163.35288553500004</v>
      </c>
      <c r="H85" s="27">
        <v>-8.1654851320000112</v>
      </c>
      <c r="I85" s="27">
        <v>-160.06278845599996</v>
      </c>
      <c r="J85" s="27">
        <v>-29.801822628999993</v>
      </c>
      <c r="K85" s="27">
        <v>127.15899083299999</v>
      </c>
      <c r="L85" s="27">
        <v>151.46851584400002</v>
      </c>
      <c r="M85" s="27">
        <v>220.07089700799997</v>
      </c>
      <c r="N85" s="27">
        <v>-72.862623985000027</v>
      </c>
      <c r="O85" s="27">
        <v>-161.74236878600004</v>
      </c>
      <c r="P85" s="27">
        <v>-201.48532472599996</v>
      </c>
      <c r="Q85" s="27">
        <v>48.053916889000007</v>
      </c>
      <c r="R85" s="27">
        <v>43.859518964000003</v>
      </c>
      <c r="S85" s="27">
        <v>-289.62054800899995</v>
      </c>
      <c r="T85" s="27">
        <v>85.360115478000012</v>
      </c>
      <c r="U85" s="27">
        <v>28.90099359500001</v>
      </c>
      <c r="V85" s="27">
        <v>-56.619962999999998</v>
      </c>
      <c r="W85" s="27">
        <v>178.09865083800003</v>
      </c>
      <c r="X85" s="27">
        <v>-116.60473416599999</v>
      </c>
      <c r="Y85" s="27">
        <v>-99.813731264000012</v>
      </c>
      <c r="Z85" s="27">
        <v>111.97341602299997</v>
      </c>
      <c r="AA85" s="27">
        <v>-135.03841794236502</v>
      </c>
      <c r="AB85" s="27">
        <v>-18.554867150999996</v>
      </c>
      <c r="AC85" s="27">
        <v>-119.36505682430001</v>
      </c>
      <c r="AD85" s="27">
        <v>7.02906770099999</v>
      </c>
      <c r="AE85" s="27">
        <v>-74.953864265000021</v>
      </c>
      <c r="AF85" s="27">
        <v>16.894706254999988</v>
      </c>
      <c r="AG85" s="27">
        <v>-159.65378553799999</v>
      </c>
      <c r="AH85" s="27">
        <v>29.174865102999998</v>
      </c>
      <c r="AI85" s="27">
        <v>-18.989203786000004</v>
      </c>
      <c r="AJ85" s="27">
        <v>36.793346054999994</v>
      </c>
      <c r="AK85" s="27">
        <v>52.312462261000007</v>
      </c>
      <c r="AL85" s="27">
        <v>-212.37474597840003</v>
      </c>
      <c r="AM85" s="27">
        <v>34.8796088</v>
      </c>
      <c r="AN85" s="27">
        <v>-62.318987383</v>
      </c>
      <c r="AO85" s="27">
        <v>-145.742021161</v>
      </c>
      <c r="AP85" s="27">
        <v>112.315827223</v>
      </c>
      <c r="AQ85" s="27">
        <v>108.40467220700002</v>
      </c>
      <c r="AR85" s="27">
        <v>-167.56726132099999</v>
      </c>
      <c r="AS85" s="27">
        <v>-28.059698525999998</v>
      </c>
      <c r="AT85" s="27">
        <v>50.381518386999993</v>
      </c>
      <c r="AU85" s="27">
        <v>-38.312090404000017</v>
      </c>
      <c r="AV85" s="27">
        <v>275.93242151699997</v>
      </c>
      <c r="AW85" s="27">
        <v>330.28797810699996</v>
      </c>
      <c r="AX85" s="27">
        <v>-63.539002980000006</v>
      </c>
      <c r="AY85" s="27">
        <v>-375.97903165600002</v>
      </c>
      <c r="AZ85" s="27">
        <v>-35.859035049999996</v>
      </c>
      <c r="BA85" s="27">
        <v>-58.078487172000003</v>
      </c>
      <c r="BB85" s="27">
        <v>76.159277873000008</v>
      </c>
      <c r="BC85" s="27">
        <v>7.6747703269999974</v>
      </c>
      <c r="BD85" s="27">
        <v>6.4754795630000075</v>
      </c>
      <c r="BE85" s="27">
        <v>-72.439445812000002</v>
      </c>
      <c r="BF85" s="27">
        <v>30.407534057999996</v>
      </c>
      <c r="BG85" s="27">
        <v>94.345818726999994</v>
      </c>
      <c r="BH85" s="27">
        <v>158.98401749600001</v>
      </c>
      <c r="BI85" s="27">
        <v>513.114374193</v>
      </c>
      <c r="BJ85" s="27">
        <v>-475.94185530600004</v>
      </c>
      <c r="BK85" s="27">
        <v>-209.39908313999999</v>
      </c>
      <c r="BL85" s="27">
        <v>-43.528302692000004</v>
      </c>
      <c r="BM85" s="27">
        <v>-93.966512539999997</v>
      </c>
      <c r="BN85" s="27">
        <v>35.770111364999998</v>
      </c>
      <c r="BO85" s="27">
        <v>-34.349368349000002</v>
      </c>
      <c r="BP85" s="27">
        <v>-36.742405428000012</v>
      </c>
      <c r="BQ85" s="27">
        <v>-27.064510752000018</v>
      </c>
      <c r="BR85" s="27">
        <v>43.127276261999995</v>
      </c>
      <c r="BS85" s="27">
        <v>-82.426543324000008</v>
      </c>
      <c r="BT85" s="27">
        <v>129.68707245100001</v>
      </c>
      <c r="BU85" s="27">
        <v>-3.7624643829999993</v>
      </c>
      <c r="BV85" s="27">
        <v>-458.380508561</v>
      </c>
      <c r="BW85" s="27">
        <v>76.234895115</v>
      </c>
      <c r="BX85" s="27">
        <v>-184.764696684</v>
      </c>
      <c r="BY85" s="27">
        <v>72.249248517999987</v>
      </c>
      <c r="BZ85" s="27">
        <v>330.81961166500002</v>
      </c>
      <c r="CA85" s="27">
        <v>-225.925691911</v>
      </c>
      <c r="CB85" s="27">
        <v>7.6184026949999968</v>
      </c>
      <c r="CC85" s="27">
        <v>-34.469216812000013</v>
      </c>
      <c r="CD85" s="27">
        <v>266.92592722299997</v>
      </c>
      <c r="CE85" s="27">
        <v>299.14407617699999</v>
      </c>
      <c r="CF85" s="27">
        <v>78.053586674999991</v>
      </c>
      <c r="CG85" s="27">
        <v>-699.4834878810002</v>
      </c>
      <c r="CH85" s="27">
        <v>-236.37288121300003</v>
      </c>
      <c r="CI85" s="27">
        <v>-72.23476534400001</v>
      </c>
      <c r="CJ85" s="27">
        <v>259.51857881300003</v>
      </c>
      <c r="CK85" s="27">
        <v>-197.72002207500003</v>
      </c>
      <c r="CL85" s="27">
        <v>45.214856805999986</v>
      </c>
      <c r="CM85" s="27">
        <v>-89.215182130000017</v>
      </c>
      <c r="CN85" s="27">
        <v>-5.2147834300000113</v>
      </c>
      <c r="CO85" s="27">
        <v>-94.192411147000001</v>
      </c>
      <c r="CP85" s="27">
        <v>-168.84945513400001</v>
      </c>
      <c r="CQ85" s="27">
        <v>97.343734237999996</v>
      </c>
      <c r="CR85" s="27">
        <v>-490.18597921899999</v>
      </c>
      <c r="CS85" s="27">
        <v>207.63612642799995</v>
      </c>
      <c r="CT85" s="27">
        <v>-447.62242736600001</v>
      </c>
      <c r="CU85" s="27">
        <v>-107.30614227800001</v>
      </c>
      <c r="CV85" s="27">
        <v>-222.65626485600001</v>
      </c>
      <c r="CW85" s="27">
        <v>-104.34147810900001</v>
      </c>
      <c r="CX85" s="27">
        <v>-247.98416081300002</v>
      </c>
      <c r="CY85" s="27">
        <v>114.482900325</v>
      </c>
      <c r="CZ85" s="27">
        <v>-18.912598191000001</v>
      </c>
      <c r="DA85" s="27">
        <v>-137.06595679100002</v>
      </c>
      <c r="DB85" s="27">
        <v>-29.787447399999998</v>
      </c>
      <c r="DC85" s="27">
        <v>-59.826327294000002</v>
      </c>
      <c r="DD85" s="27">
        <v>-59.87111187</v>
      </c>
      <c r="DE85" s="27">
        <v>-693.00577232500007</v>
      </c>
      <c r="DF85" s="27">
        <v>-433.04246017700001</v>
      </c>
      <c r="DG85" s="27">
        <v>-132.588106321</v>
      </c>
      <c r="DH85" s="27">
        <v>225.47936757199997</v>
      </c>
      <c r="DI85" s="27">
        <v>-162.13484361499999</v>
      </c>
      <c r="DJ85" s="27">
        <v>-35.44955026300002</v>
      </c>
      <c r="DK85" s="27">
        <v>-63.169391234000003</v>
      </c>
      <c r="DL85" s="27">
        <v>100.548198633</v>
      </c>
      <c r="DM85" s="27">
        <v>20.977521802000005</v>
      </c>
      <c r="DN85" s="27">
        <v>112.03686700899999</v>
      </c>
      <c r="DO85" s="27">
        <v>-13.108123763999997</v>
      </c>
      <c r="DP85" s="27">
        <v>-78.639701143000138</v>
      </c>
      <c r="DQ85" s="27">
        <v>3516.4348380559995</v>
      </c>
      <c r="DR85" s="27">
        <v>1181.4520936850001</v>
      </c>
      <c r="DS85" s="27">
        <v>-64.548177697999989</v>
      </c>
      <c r="DT85" s="27">
        <v>86.977792520999998</v>
      </c>
      <c r="DU85" s="27">
        <v>99.131488261999976</v>
      </c>
      <c r="DV85" s="27">
        <v>-22.098276889000001</v>
      </c>
      <c r="DW85" s="27">
        <v>-218.38168241800003</v>
      </c>
      <c r="DX85" s="27">
        <v>-146.30864678999998</v>
      </c>
      <c r="DY85" s="27">
        <v>-196.82783211300003</v>
      </c>
      <c r="DZ85" s="27">
        <v>248.81199203999995</v>
      </c>
      <c r="EA85" s="27">
        <v>-29.214434968000006</v>
      </c>
      <c r="EB85" s="27">
        <v>296.87097307899995</v>
      </c>
      <c r="EC85" s="27">
        <v>16.538133391000013</v>
      </c>
      <c r="ED85" s="27">
        <v>-643.81451383399997</v>
      </c>
      <c r="EE85" s="27">
        <v>-584.95526951099998</v>
      </c>
      <c r="EF85" s="27">
        <v>43.549250833999992</v>
      </c>
      <c r="EG85" s="27">
        <v>181.679853213</v>
      </c>
      <c r="EH85" s="27">
        <v>-122.24964036900001</v>
      </c>
      <c r="EI85" s="27">
        <v>12.478511772999994</v>
      </c>
      <c r="EJ85" s="27">
        <v>-84.870206335999995</v>
      </c>
      <c r="EK85" s="27">
        <v>4243.7332171899998</v>
      </c>
      <c r="EL85" s="27">
        <v>-198.94677496399999</v>
      </c>
      <c r="EM85" s="27">
        <v>-124.802190075</v>
      </c>
      <c r="EN85" s="27">
        <v>-515.81101763300001</v>
      </c>
      <c r="EO85" s="27">
        <v>321.78253095999997</v>
      </c>
      <c r="EP85" s="27">
        <v>-757.84704433000002</v>
      </c>
      <c r="EQ85" s="27">
        <v>195.71930475900001</v>
      </c>
      <c r="ER85" s="27">
        <v>-164.77332861799999</v>
      </c>
      <c r="ES85" s="27">
        <v>1684.5939599320002</v>
      </c>
      <c r="ET85" s="27">
        <v>162.24308235399999</v>
      </c>
      <c r="EU85" s="27">
        <v>204.30128921499997</v>
      </c>
      <c r="EV85" s="27">
        <v>-98.276998241000001</v>
      </c>
      <c r="EW85" s="27">
        <v>4.6973292630000074</v>
      </c>
      <c r="EX85" s="27">
        <v>-133.310903647</v>
      </c>
      <c r="EY85" s="27">
        <v>158.91387492299998</v>
      </c>
      <c r="EZ85" s="27">
        <v>71.893463969999956</v>
      </c>
      <c r="FA85" s="27">
        <v>376.07443437500001</v>
      </c>
      <c r="FB85" s="27">
        <v>-666.76801519099979</v>
      </c>
      <c r="FC85" s="27">
        <v>-525.46554843500007</v>
      </c>
      <c r="FD85" s="27">
        <v>3410.6418094850001</v>
      </c>
      <c r="FE85" s="27">
        <v>201.19192666499998</v>
      </c>
      <c r="FF85" s="27">
        <v>-396.92597468300005</v>
      </c>
      <c r="FG85" s="27">
        <v>-71.927984940999977</v>
      </c>
      <c r="FH85" s="27">
        <v>-74.932138151000004</v>
      </c>
      <c r="FI85" s="27">
        <v>43.171930888999988</v>
      </c>
      <c r="FJ85" s="27">
        <v>-42.402438097999998</v>
      </c>
      <c r="FK85" s="27">
        <v>-19.465024332000002</v>
      </c>
      <c r="FL85" s="27">
        <v>83.34316646500001</v>
      </c>
      <c r="FM85" s="27">
        <v>938.92883450300008</v>
      </c>
      <c r="FN85" s="27">
        <v>-340.51612774100022</v>
      </c>
      <c r="FO85" s="27">
        <v>-425.01630712499997</v>
      </c>
      <c r="FP85" s="27">
        <v>2863.3699114629999</v>
      </c>
      <c r="FQ85" s="27">
        <v>320.53475467500004</v>
      </c>
      <c r="FR85" s="27">
        <v>296.59676886099999</v>
      </c>
      <c r="FS85" s="27">
        <v>388.69927544000001</v>
      </c>
      <c r="FT85" s="27">
        <v>-100.33558507699999</v>
      </c>
      <c r="FU85" s="27">
        <v>67.567896747000006</v>
      </c>
      <c r="FV85" s="27">
        <v>-83.377810595</v>
      </c>
      <c r="FW85" s="27">
        <v>248.93278124600002</v>
      </c>
      <c r="FX85" s="27">
        <v>554.94116811599997</v>
      </c>
      <c r="FY85" s="27">
        <v>51.739111054000006</v>
      </c>
      <c r="FZ85" s="27">
        <v>321.84822878900013</v>
      </c>
      <c r="GA85" s="27">
        <v>-30.110734626000028</v>
      </c>
      <c r="GB85" s="22">
        <v>3148.8247845259998</v>
      </c>
      <c r="GC85" s="22">
        <v>565.74833017800006</v>
      </c>
      <c r="GD85" s="22">
        <v>-344.797343125</v>
      </c>
      <c r="GE85" s="22">
        <v>476.76045206800006</v>
      </c>
      <c r="GF85" s="22">
        <v>-1.07616060700001</v>
      </c>
      <c r="GG85" s="22">
        <v>-141.446845607</v>
      </c>
      <c r="GH85" s="22">
        <v>115.27045049200001</v>
      </c>
      <c r="GI85" s="22">
        <v>-29.612714551999943</v>
      </c>
      <c r="GJ85" s="22">
        <v>861.70184514100004</v>
      </c>
      <c r="GK85" s="22">
        <v>168.64360511800001</v>
      </c>
      <c r="GL85" s="23">
        <v>504.40718762900008</v>
      </c>
      <c r="GM85" s="23">
        <v>2746.5995470089997</v>
      </c>
      <c r="GN85" s="23">
        <v>634.10109999199994</v>
      </c>
      <c r="GO85" s="23">
        <v>-157.55743833899999</v>
      </c>
      <c r="GP85" s="23">
        <v>54.093737345999983</v>
      </c>
      <c r="GQ85" s="23">
        <v>-132.29613083099997</v>
      </c>
      <c r="GR85" s="23">
        <v>-49.522339231999986</v>
      </c>
      <c r="GS85" s="23">
        <v>307.29764931400001</v>
      </c>
      <c r="GT85" s="23">
        <v>-35.917127147000002</v>
      </c>
      <c r="GU85" s="23">
        <v>963.11982070700014</v>
      </c>
      <c r="GV85" s="23">
        <v>1055.6655307430001</v>
      </c>
      <c r="GW85" s="23">
        <v>627.792007227</v>
      </c>
      <c r="GX85" s="23">
        <v>4295.0021391460004</v>
      </c>
      <c r="GY85" s="23">
        <v>744.30490440200003</v>
      </c>
      <c r="GZ85" s="23">
        <v>3843.2346266222689</v>
      </c>
      <c r="HA85" s="23">
        <v>3277.7335404629998</v>
      </c>
      <c r="HB85" s="23">
        <v>826.15425645799996</v>
      </c>
      <c r="HC85" s="23">
        <v>12.850689056999983</v>
      </c>
      <c r="HD85" s="23">
        <v>673.50562951659799</v>
      </c>
      <c r="HE85" s="23">
        <v>-129.63290562699999</v>
      </c>
      <c r="HF85" s="23"/>
      <c r="HG85" s="23"/>
      <c r="HH85" s="23"/>
      <c r="HI85" s="23"/>
    </row>
    <row r="86" spans="1:217">
      <c r="A86" s="29" t="s">
        <v>97</v>
      </c>
      <c r="B86" s="2">
        <v>-6.6010200900000058</v>
      </c>
      <c r="C86" s="2">
        <v>30.440346686000005</v>
      </c>
      <c r="D86" s="2">
        <v>-33.084796474000001</v>
      </c>
      <c r="E86" s="2">
        <v>-88.406084120999992</v>
      </c>
      <c r="F86" s="2">
        <v>-37.051129663999994</v>
      </c>
      <c r="G86" s="2">
        <v>149.80251006300003</v>
      </c>
      <c r="H86" s="2">
        <v>31.47893663599999</v>
      </c>
      <c r="I86" s="2">
        <v>-256.86657360599997</v>
      </c>
      <c r="J86" s="2">
        <v>-80.470311909999992</v>
      </c>
      <c r="K86" s="2">
        <v>46.277893597999984</v>
      </c>
      <c r="L86" s="2">
        <v>225.38085753900003</v>
      </c>
      <c r="M86" s="2">
        <v>-133.833748571</v>
      </c>
      <c r="N86" s="2">
        <v>-42.656942862000022</v>
      </c>
      <c r="O86" s="2">
        <v>-148.23422252900002</v>
      </c>
      <c r="P86" s="2">
        <v>-149.41274360599996</v>
      </c>
      <c r="Q86" s="2">
        <v>20.979021992000007</v>
      </c>
      <c r="R86" s="2">
        <v>14.000204299000004</v>
      </c>
      <c r="S86" s="2">
        <v>-204.92903369399997</v>
      </c>
      <c r="T86" s="2">
        <v>108.17231809000002</v>
      </c>
      <c r="U86" s="2">
        <v>21.376714705000001</v>
      </c>
      <c r="V86" s="2">
        <v>-105.11584909999999</v>
      </c>
      <c r="W86" s="2">
        <v>167.15600775800002</v>
      </c>
      <c r="X86" s="2">
        <v>-79.108341557000003</v>
      </c>
      <c r="Y86" s="2">
        <v>-136.068505448</v>
      </c>
      <c r="Z86" s="2">
        <v>128.83459960999997</v>
      </c>
      <c r="AA86" s="2">
        <v>-110.15837582336502</v>
      </c>
      <c r="AB86" s="2">
        <v>-21.390440461999997</v>
      </c>
      <c r="AC86" s="2">
        <v>-43.185519366299999</v>
      </c>
      <c r="AD86" s="2">
        <v>17.459679403999992</v>
      </c>
      <c r="AE86" s="2">
        <v>-48.838552995000008</v>
      </c>
      <c r="AF86" s="2">
        <v>122.71785404799999</v>
      </c>
      <c r="AG86" s="2">
        <v>-115.96488073699999</v>
      </c>
      <c r="AH86" s="2">
        <v>28.895896200999999</v>
      </c>
      <c r="AI86" s="2">
        <v>16.521964947999997</v>
      </c>
      <c r="AJ86" s="2">
        <v>47.247636682999996</v>
      </c>
      <c r="AK86" s="2">
        <v>15.093605094999994</v>
      </c>
      <c r="AL86" s="2">
        <v>-95.076953534400019</v>
      </c>
      <c r="AM86" s="2">
        <v>90.669241353999993</v>
      </c>
      <c r="AN86" s="2">
        <v>-60.403593768999997</v>
      </c>
      <c r="AO86" s="2">
        <v>-111.06446319699999</v>
      </c>
      <c r="AP86" s="2">
        <v>116.159478671</v>
      </c>
      <c r="AQ86" s="2">
        <v>136.13629684900002</v>
      </c>
      <c r="AR86" s="2">
        <v>-116.84394927899999</v>
      </c>
      <c r="AS86" s="2">
        <v>-35.769197968</v>
      </c>
      <c r="AT86" s="2">
        <v>54.307622456999994</v>
      </c>
      <c r="AU86" s="2">
        <v>-21.042378689000003</v>
      </c>
      <c r="AV86" s="2">
        <v>156.492113424</v>
      </c>
      <c r="AW86" s="2">
        <v>295.77435107399998</v>
      </c>
      <c r="AX86" s="2">
        <v>23.462571389999997</v>
      </c>
      <c r="AY86" s="2">
        <v>-281.93299507500001</v>
      </c>
      <c r="AZ86" s="2">
        <v>-19.321516267999996</v>
      </c>
      <c r="BA86" s="2">
        <v>-48.925695490999999</v>
      </c>
      <c r="BB86" s="2">
        <v>108.186033067</v>
      </c>
      <c r="BC86" s="2">
        <v>18.194120159999997</v>
      </c>
      <c r="BD86" s="2">
        <v>86.633469887000004</v>
      </c>
      <c r="BE86" s="2">
        <v>-26.170903737000003</v>
      </c>
      <c r="BF86" s="2">
        <v>5.5457196380000013</v>
      </c>
      <c r="BG86" s="2">
        <v>107.81039738599999</v>
      </c>
      <c r="BH86" s="2">
        <v>161.87387980299999</v>
      </c>
      <c r="BI86" s="2">
        <v>357.42261883799995</v>
      </c>
      <c r="BJ86" s="2">
        <v>-392.34256921100007</v>
      </c>
      <c r="BK86" s="2">
        <v>-139.61973506699999</v>
      </c>
      <c r="BL86" s="2">
        <v>-4.3781945090000089</v>
      </c>
      <c r="BM86" s="2">
        <v>-81.351911877000006</v>
      </c>
      <c r="BN86" s="2">
        <v>37.485839540000001</v>
      </c>
      <c r="BO86" s="2">
        <v>10.765032879999993</v>
      </c>
      <c r="BP86" s="2">
        <v>28.707912461999996</v>
      </c>
      <c r="BQ86" s="2">
        <v>-35.074400991000005</v>
      </c>
      <c r="BR86" s="2">
        <v>75.910973385999995</v>
      </c>
      <c r="BS86" s="2">
        <v>-61.384280300000007</v>
      </c>
      <c r="BT86" s="2">
        <v>129.60795467899999</v>
      </c>
      <c r="BU86" s="2">
        <v>-6.8009254490000028</v>
      </c>
      <c r="BV86" s="2">
        <v>-401.73299139900001</v>
      </c>
      <c r="BW86" s="2">
        <v>186.359512443</v>
      </c>
      <c r="BX86" s="2">
        <v>-205.89417468299999</v>
      </c>
      <c r="BY86" s="2">
        <v>87.314275295999991</v>
      </c>
      <c r="BZ86" s="2">
        <v>328.09302136100001</v>
      </c>
      <c r="CA86" s="2">
        <v>-179.00385042400001</v>
      </c>
      <c r="CB86" s="2">
        <v>21.431318321999999</v>
      </c>
      <c r="CC86" s="2">
        <v>17.501083955999999</v>
      </c>
      <c r="CD86" s="2">
        <v>-204.06440533300002</v>
      </c>
      <c r="CE86" s="2">
        <v>335.84054521299998</v>
      </c>
      <c r="CF86" s="2">
        <v>70.756013744000001</v>
      </c>
      <c r="CG86" s="2">
        <v>-594.61041001100011</v>
      </c>
      <c r="CH86" s="2">
        <v>-312.21079808300004</v>
      </c>
      <c r="CI86" s="2">
        <v>-77.440469233000002</v>
      </c>
      <c r="CJ86" s="2">
        <v>333.78974438800003</v>
      </c>
      <c r="CK86" s="2">
        <v>-150.47172007700001</v>
      </c>
      <c r="CL86" s="2">
        <v>24.913823653999984</v>
      </c>
      <c r="CM86" s="2">
        <v>-35.363534629000021</v>
      </c>
      <c r="CN86" s="2">
        <v>69.190643311999992</v>
      </c>
      <c r="CO86" s="2">
        <v>-23.257184840000001</v>
      </c>
      <c r="CP86" s="2">
        <v>-132.88846802500001</v>
      </c>
      <c r="CQ86" s="2">
        <v>10.372625192999998</v>
      </c>
      <c r="CR86" s="2">
        <v>-406.849837009</v>
      </c>
      <c r="CS86" s="2">
        <v>-316.26249847900004</v>
      </c>
      <c r="CT86" s="2">
        <v>-395.74569453300001</v>
      </c>
      <c r="CU86" s="2">
        <v>-44.743502575000008</v>
      </c>
      <c r="CV86" s="2">
        <v>-178.65731051099999</v>
      </c>
      <c r="CW86" s="2">
        <v>-71.507689123999995</v>
      </c>
      <c r="CX86" s="2">
        <v>-162.765533347</v>
      </c>
      <c r="CY86" s="2">
        <v>21.314629670999999</v>
      </c>
      <c r="CZ86" s="2">
        <v>69.247522703000001</v>
      </c>
      <c r="DA86" s="2">
        <v>-65.870387506</v>
      </c>
      <c r="DB86" s="2">
        <v>-61.705701116</v>
      </c>
      <c r="DC86" s="2">
        <v>-55.241358189000003</v>
      </c>
      <c r="DD86" s="2">
        <v>-71.234206295999996</v>
      </c>
      <c r="DE86" s="2">
        <v>-751.92695631000004</v>
      </c>
      <c r="DF86" s="2">
        <v>-353.61568456700002</v>
      </c>
      <c r="DG86" s="2">
        <v>-54.086164793000002</v>
      </c>
      <c r="DH86" s="2">
        <v>262.73632856899997</v>
      </c>
      <c r="DI86" s="2">
        <v>-107.062215256</v>
      </c>
      <c r="DJ86" s="2">
        <v>11.597003584999982</v>
      </c>
      <c r="DK86" s="2">
        <v>-60.466518814000004</v>
      </c>
      <c r="DL86" s="2">
        <v>179.71464821800001</v>
      </c>
      <c r="DM86" s="2">
        <v>62.749511518999995</v>
      </c>
      <c r="DN86" s="2">
        <v>116.73187967699999</v>
      </c>
      <c r="DO86" s="2">
        <v>1.8090235710000049</v>
      </c>
      <c r="DP86" s="2">
        <v>-514.03298092700015</v>
      </c>
      <c r="DQ86" s="2">
        <v>3561.6991787919997</v>
      </c>
      <c r="DR86" s="2">
        <v>-794.30569217099992</v>
      </c>
      <c r="DS86" s="2">
        <v>-91.420083290999997</v>
      </c>
      <c r="DT86" s="2">
        <v>157.82343063299999</v>
      </c>
      <c r="DU86" s="2">
        <v>119.56575413999998</v>
      </c>
      <c r="DV86" s="2">
        <v>-16.531661475</v>
      </c>
      <c r="DW86" s="2">
        <v>-152.862631542</v>
      </c>
      <c r="DX86" s="2">
        <v>-85.737176459999986</v>
      </c>
      <c r="DY86" s="2">
        <v>-149.62141021300002</v>
      </c>
      <c r="DZ86" s="2">
        <v>-155.69811384000002</v>
      </c>
      <c r="EA86" s="2">
        <v>12.421192719999993</v>
      </c>
      <c r="EB86" s="2">
        <v>274.57671934899997</v>
      </c>
      <c r="EC86" s="2">
        <v>-10.706920620000002</v>
      </c>
      <c r="ED86" s="2">
        <v>-577.23848948900002</v>
      </c>
      <c r="EE86" s="2">
        <v>-526.97003222800004</v>
      </c>
      <c r="EF86" s="2">
        <v>89.114999388999991</v>
      </c>
      <c r="EG86" s="2">
        <v>219.439485459</v>
      </c>
      <c r="EH86" s="2">
        <v>-86.074694220000012</v>
      </c>
      <c r="EI86" s="2">
        <v>32.638275097999994</v>
      </c>
      <c r="EJ86" s="2">
        <v>-38.386869271999984</v>
      </c>
      <c r="EK86" s="2">
        <v>-5.3311695510000003</v>
      </c>
      <c r="EL86" s="2">
        <v>-174.54999144499999</v>
      </c>
      <c r="EM86" s="2">
        <v>-103.24390876300001</v>
      </c>
      <c r="EN86" s="2">
        <v>-512.24000165100006</v>
      </c>
      <c r="EO86" s="2">
        <v>-22.947319228000012</v>
      </c>
      <c r="EP86" s="2">
        <v>-763.25242008300006</v>
      </c>
      <c r="EQ86" s="2">
        <v>212.30333106900002</v>
      </c>
      <c r="ER86" s="2">
        <v>-121.10535632899999</v>
      </c>
      <c r="ES86" s="2">
        <v>339.31087649199998</v>
      </c>
      <c r="ET86" s="2">
        <v>142.56649949499999</v>
      </c>
      <c r="EU86" s="2">
        <v>257.34688116999996</v>
      </c>
      <c r="EV86" s="2">
        <v>-10.692085713999994</v>
      </c>
      <c r="EW86" s="2">
        <v>32.029097314000005</v>
      </c>
      <c r="EX86" s="2">
        <v>-137.525952985</v>
      </c>
      <c r="EY86" s="2">
        <v>208.74781391799996</v>
      </c>
      <c r="EZ86" s="2">
        <v>103.32833285099997</v>
      </c>
      <c r="FA86" s="2">
        <v>-25.741262142</v>
      </c>
      <c r="FB86" s="2">
        <v>-545.12535535199981</v>
      </c>
      <c r="FC86" s="2">
        <v>-504.40345181500004</v>
      </c>
      <c r="FD86" s="2">
        <v>73.353878286999986</v>
      </c>
      <c r="FE86" s="2">
        <v>-0.91143741899999986</v>
      </c>
      <c r="FF86" s="2">
        <v>-338.95045177400004</v>
      </c>
      <c r="FG86" s="2">
        <v>-56.570658905999991</v>
      </c>
      <c r="FH86" s="2">
        <v>-51.7420616</v>
      </c>
      <c r="FI86" s="2">
        <v>40.946806634999994</v>
      </c>
      <c r="FJ86" s="2">
        <v>-41.902499999999996</v>
      </c>
      <c r="FK86" s="2">
        <v>-0.39863458099999965</v>
      </c>
      <c r="FL86" s="2">
        <v>-94.886233496000003</v>
      </c>
      <c r="FM86" s="2">
        <v>98.830307411000007</v>
      </c>
      <c r="FN86" s="2">
        <v>-331.5698441740002</v>
      </c>
      <c r="FO86" s="2">
        <v>-452.89659121599999</v>
      </c>
      <c r="FP86" s="2">
        <v>-84.215109837</v>
      </c>
      <c r="FQ86" s="2">
        <v>370.85633573900003</v>
      </c>
      <c r="FR86" s="2">
        <v>-250.67675012800001</v>
      </c>
      <c r="FS86" s="2">
        <v>44.711722458000011</v>
      </c>
      <c r="FT86" s="2">
        <v>-70.372313837999997</v>
      </c>
      <c r="FU86" s="2">
        <v>-20.627675199999999</v>
      </c>
      <c r="FV86" s="2">
        <v>-20.077413751999995</v>
      </c>
      <c r="FW86" s="2">
        <v>304.22056880100001</v>
      </c>
      <c r="FX86" s="2">
        <v>319.172539879</v>
      </c>
      <c r="FY86" s="2">
        <v>79.507505155999993</v>
      </c>
      <c r="FZ86" s="2">
        <v>321.84822878900013</v>
      </c>
      <c r="GA86" s="2">
        <v>-51.019062000000027</v>
      </c>
      <c r="GB86" s="22">
        <v>232.443328197</v>
      </c>
      <c r="GC86" s="22">
        <v>433.55155185900003</v>
      </c>
      <c r="GD86" s="22">
        <v>-299.908063094</v>
      </c>
      <c r="GE86" s="22">
        <v>335.11722063900004</v>
      </c>
      <c r="GF86" s="22">
        <v>-7.1924590839999993</v>
      </c>
      <c r="GG86" s="22">
        <v>-157.724552407</v>
      </c>
      <c r="GH86" s="22">
        <v>83.079265796000001</v>
      </c>
      <c r="GI86" s="22">
        <v>-213.23792967099996</v>
      </c>
      <c r="GJ86" s="22">
        <v>234.306866805</v>
      </c>
      <c r="GK86" s="22">
        <v>139.51918259300001</v>
      </c>
      <c r="GL86" s="23">
        <v>463.80001245700009</v>
      </c>
      <c r="GM86" s="23">
        <v>-303.47045496900006</v>
      </c>
      <c r="GN86" s="23">
        <v>430.08630195299997</v>
      </c>
      <c r="GO86" s="23">
        <v>-175.904207778</v>
      </c>
      <c r="GP86" s="23">
        <v>288.44872406999997</v>
      </c>
      <c r="GQ86" s="23">
        <v>-183.89498073199999</v>
      </c>
      <c r="GR86" s="23">
        <v>-41.962199168999987</v>
      </c>
      <c r="GS86" s="23">
        <v>60.027106818999997</v>
      </c>
      <c r="GT86" s="23">
        <v>-228.63506130499999</v>
      </c>
      <c r="GU86" s="23">
        <v>169.59371304899997</v>
      </c>
      <c r="GV86" s="23">
        <v>472.70301906999998</v>
      </c>
      <c r="GW86" s="23">
        <v>238.64104617400002</v>
      </c>
      <c r="GX86" s="23">
        <v>878.87078529499979</v>
      </c>
      <c r="GY86" s="23">
        <v>-199.69966118699995</v>
      </c>
      <c r="GZ86" s="23">
        <v>3891.5630476390002</v>
      </c>
      <c r="HA86" s="23">
        <v>-3959.8673090810003</v>
      </c>
      <c r="HB86" s="23">
        <v>-447.61397596799998</v>
      </c>
      <c r="HC86" s="23">
        <v>-152.41159611700002</v>
      </c>
      <c r="HD86" s="23">
        <v>147.76389956200001</v>
      </c>
      <c r="HE86" s="23">
        <v>-243.13881830499997</v>
      </c>
      <c r="HF86" s="23"/>
      <c r="HG86" s="23"/>
      <c r="HH86" s="23"/>
      <c r="HI86" s="23"/>
    </row>
    <row r="87" spans="1:217">
      <c r="A87" s="29" t="s">
        <v>98</v>
      </c>
      <c r="B87" s="2">
        <v>35.775192760000003</v>
      </c>
      <c r="C87" s="2">
        <v>-62.859165208999997</v>
      </c>
      <c r="D87" s="2">
        <v>36.451107999000001</v>
      </c>
      <c r="E87" s="2">
        <v>49.435581779000003</v>
      </c>
      <c r="F87" s="2">
        <v>-9.2822652499999965</v>
      </c>
      <c r="G87" s="2">
        <v>13.550375471999999</v>
      </c>
      <c r="H87" s="2">
        <v>-39.644421768000001</v>
      </c>
      <c r="I87" s="2">
        <v>96.80378515000001</v>
      </c>
      <c r="J87" s="2">
        <v>50.668489280999999</v>
      </c>
      <c r="K87" s="2">
        <v>80.881097234999999</v>
      </c>
      <c r="L87" s="2">
        <v>-73.912341695000009</v>
      </c>
      <c r="M87" s="2">
        <v>353.90464557899998</v>
      </c>
      <c r="N87" s="2">
        <v>-30.205681122999998</v>
      </c>
      <c r="O87" s="2">
        <v>-13.508146257000007</v>
      </c>
      <c r="P87" s="2">
        <v>-52.072581119999988</v>
      </c>
      <c r="Q87" s="2">
        <v>27.074894897</v>
      </c>
      <c r="R87" s="2">
        <v>29.859314664999999</v>
      </c>
      <c r="S87" s="2">
        <v>-84.691514314999992</v>
      </c>
      <c r="T87" s="2">
        <v>-22.812202612000004</v>
      </c>
      <c r="U87" s="2">
        <v>7.5242788900000086</v>
      </c>
      <c r="V87" s="2">
        <v>48.495886099999993</v>
      </c>
      <c r="W87" s="2">
        <v>10.942643080000002</v>
      </c>
      <c r="X87" s="2">
        <v>-37.49639260899999</v>
      </c>
      <c r="Y87" s="2">
        <v>36.254774183999992</v>
      </c>
      <c r="Z87" s="2">
        <v>-16.861183586999999</v>
      </c>
      <c r="AA87" s="2">
        <v>-24.880042118999999</v>
      </c>
      <c r="AB87" s="2">
        <v>2.8355733110000001</v>
      </c>
      <c r="AC87" s="2">
        <v>-76.179537458000013</v>
      </c>
      <c r="AD87" s="2">
        <v>-10.430611703000002</v>
      </c>
      <c r="AE87" s="2">
        <v>-26.115311270000007</v>
      </c>
      <c r="AF87" s="2">
        <v>-105.823147793</v>
      </c>
      <c r="AG87" s="2">
        <v>-43.688904801</v>
      </c>
      <c r="AH87" s="2">
        <v>0.27896890200000052</v>
      </c>
      <c r="AI87" s="2">
        <v>-35.511168734000002</v>
      </c>
      <c r="AJ87" s="2">
        <v>-10.454290628000003</v>
      </c>
      <c r="AK87" s="2">
        <v>37.218857166000014</v>
      </c>
      <c r="AL87" s="2">
        <v>-117.297792444</v>
      </c>
      <c r="AM87" s="2">
        <v>-55.789632553999994</v>
      </c>
      <c r="AN87" s="2">
        <v>-1.9153936140000005</v>
      </c>
      <c r="AO87" s="2">
        <v>-34.677557964000002</v>
      </c>
      <c r="AP87" s="2">
        <v>-3.843651447999997</v>
      </c>
      <c r="AQ87" s="2">
        <v>-27.731624642000003</v>
      </c>
      <c r="AR87" s="2">
        <v>-50.723312042000018</v>
      </c>
      <c r="AS87" s="2">
        <v>7.7094994420000003</v>
      </c>
      <c r="AT87" s="2">
        <v>-3.9261040700000014</v>
      </c>
      <c r="AU87" s="2">
        <v>-17.269711715000014</v>
      </c>
      <c r="AV87" s="2">
        <v>119.440308093</v>
      </c>
      <c r="AW87" s="2">
        <v>34.513627032999999</v>
      </c>
      <c r="AX87" s="2">
        <v>-87.00157437</v>
      </c>
      <c r="AY87" s="2">
        <v>-94.046036580999996</v>
      </c>
      <c r="AZ87" s="2">
        <v>-16.537518781999999</v>
      </c>
      <c r="BA87" s="2">
        <v>-9.1527916810000018</v>
      </c>
      <c r="BB87" s="2">
        <v>-32.026755193999989</v>
      </c>
      <c r="BC87" s="2">
        <v>-10.519349833</v>
      </c>
      <c r="BD87" s="2">
        <v>-80.157990323999996</v>
      </c>
      <c r="BE87" s="2">
        <v>-46.268542074999999</v>
      </c>
      <c r="BF87" s="2">
        <v>24.861814419999995</v>
      </c>
      <c r="BG87" s="2">
        <v>-13.464578658999999</v>
      </c>
      <c r="BH87" s="2">
        <v>-2.8898623069999956</v>
      </c>
      <c r="BI87" s="2">
        <v>155.691755355</v>
      </c>
      <c r="BJ87" s="2">
        <v>-83.599286094999982</v>
      </c>
      <c r="BK87" s="2">
        <v>-69.779348072999994</v>
      </c>
      <c r="BL87" s="2">
        <v>-39.150108182999993</v>
      </c>
      <c r="BM87" s="2">
        <v>-12.614600662999997</v>
      </c>
      <c r="BN87" s="2">
        <v>-1.7157281750000002</v>
      </c>
      <c r="BO87" s="2">
        <v>-45.114401228999995</v>
      </c>
      <c r="BP87" s="2">
        <v>-65.450317890000008</v>
      </c>
      <c r="BQ87" s="2">
        <v>8.0098902389999864</v>
      </c>
      <c r="BR87" s="2">
        <v>-32.783697124</v>
      </c>
      <c r="BS87" s="2">
        <v>-21.042263024</v>
      </c>
      <c r="BT87" s="2">
        <v>7.9117772000005054E-2</v>
      </c>
      <c r="BU87" s="2">
        <v>3.0384610660000035</v>
      </c>
      <c r="BV87" s="2">
        <v>-56.647517162</v>
      </c>
      <c r="BW87" s="2">
        <v>-110.124617328</v>
      </c>
      <c r="BX87" s="2">
        <v>21.129477998999995</v>
      </c>
      <c r="BY87" s="2">
        <v>-15.065026778</v>
      </c>
      <c r="BZ87" s="2">
        <v>2.726590304000005</v>
      </c>
      <c r="CA87" s="2">
        <v>-46.921841487000002</v>
      </c>
      <c r="CB87" s="2">
        <v>-13.812915627000002</v>
      </c>
      <c r="CC87" s="2">
        <v>-51.970300768000008</v>
      </c>
      <c r="CD87" s="2">
        <v>470.990332556</v>
      </c>
      <c r="CE87" s="2">
        <v>-36.696469035999996</v>
      </c>
      <c r="CF87" s="2">
        <v>7.297572930999995</v>
      </c>
      <c r="CG87" s="2">
        <v>-104.87307787000003</v>
      </c>
      <c r="CH87" s="2">
        <v>75.837916870000001</v>
      </c>
      <c r="CI87" s="2">
        <v>5.2057038889999969</v>
      </c>
      <c r="CJ87" s="2">
        <v>-74.271165574999998</v>
      </c>
      <c r="CK87" s="2">
        <v>-47.248301998000002</v>
      </c>
      <c r="CL87" s="2">
        <v>20.301033152000002</v>
      </c>
      <c r="CM87" s="2">
        <v>-53.851647501000002</v>
      </c>
      <c r="CN87" s="2">
        <v>-74.405426742000003</v>
      </c>
      <c r="CO87" s="2">
        <v>-70.935226307000008</v>
      </c>
      <c r="CP87" s="2">
        <v>-35.960987109000008</v>
      </c>
      <c r="CQ87" s="2">
        <v>86.971109045000006</v>
      </c>
      <c r="CR87" s="2">
        <v>-83.336142210000006</v>
      </c>
      <c r="CS87" s="2">
        <v>523.898624907</v>
      </c>
      <c r="CT87" s="2">
        <v>-51.876732832999998</v>
      </c>
      <c r="CU87" s="2">
        <v>-62.562639703000002</v>
      </c>
      <c r="CV87" s="2">
        <v>-43.998954345000008</v>
      </c>
      <c r="CW87" s="2">
        <v>-32.833788985000005</v>
      </c>
      <c r="CX87" s="2">
        <v>-85.218627466000001</v>
      </c>
      <c r="CY87" s="2">
        <v>93.168270654000011</v>
      </c>
      <c r="CZ87" s="2">
        <v>-88.160120894000002</v>
      </c>
      <c r="DA87" s="2">
        <v>-71.195569285000005</v>
      </c>
      <c r="DB87" s="2">
        <v>31.918253716000002</v>
      </c>
      <c r="DC87" s="2">
        <v>-4.5849691049999999</v>
      </c>
      <c r="DD87" s="2">
        <v>11.363094425999996</v>
      </c>
      <c r="DE87" s="2">
        <v>58.921183984999999</v>
      </c>
      <c r="DF87" s="2">
        <v>-79.426775609999993</v>
      </c>
      <c r="DG87" s="2">
        <v>-78.501941527999989</v>
      </c>
      <c r="DH87" s="2">
        <v>-37.256960997</v>
      </c>
      <c r="DI87" s="2">
        <v>-55.072628358999999</v>
      </c>
      <c r="DJ87" s="2">
        <v>-47.046553848000002</v>
      </c>
      <c r="DK87" s="2">
        <v>-2.7028724199999998</v>
      </c>
      <c r="DL87" s="2">
        <v>-79.166449585000009</v>
      </c>
      <c r="DM87" s="2">
        <v>-41.77198971699999</v>
      </c>
      <c r="DN87" s="2">
        <v>-4.6950126679999995</v>
      </c>
      <c r="DO87" s="2">
        <v>-14.917147335000001</v>
      </c>
      <c r="DP87" s="2">
        <v>435.39327978400001</v>
      </c>
      <c r="DQ87" s="2">
        <v>-45.264340736000001</v>
      </c>
      <c r="DR87" s="2">
        <v>1975.7577858560001</v>
      </c>
      <c r="DS87" s="2">
        <v>26.871905593000001</v>
      </c>
      <c r="DT87" s="2">
        <v>-70.845638111999989</v>
      </c>
      <c r="DU87" s="2">
        <v>-20.434265878000001</v>
      </c>
      <c r="DV87" s="2">
        <v>-5.5666154140000002</v>
      </c>
      <c r="DW87" s="2">
        <v>-65.519050876000009</v>
      </c>
      <c r="DX87" s="2">
        <v>-60.571470329999997</v>
      </c>
      <c r="DY87" s="2">
        <v>-47.206421900000002</v>
      </c>
      <c r="DZ87" s="2">
        <v>404.51010587999997</v>
      </c>
      <c r="EA87" s="2">
        <v>-41.635627688</v>
      </c>
      <c r="EB87" s="2">
        <v>22.294253730000001</v>
      </c>
      <c r="EC87" s="2">
        <v>27.245054011000015</v>
      </c>
      <c r="ED87" s="2">
        <v>-66.576024344999993</v>
      </c>
      <c r="EE87" s="2">
        <v>-57.985237282999996</v>
      </c>
      <c r="EF87" s="2">
        <v>-45.565748554999999</v>
      </c>
      <c r="EG87" s="2">
        <v>-37.759632246000002</v>
      </c>
      <c r="EH87" s="2">
        <v>-36.174946148999993</v>
      </c>
      <c r="EI87" s="2">
        <v>-20.159763325</v>
      </c>
      <c r="EJ87" s="2">
        <v>-46.483337064000004</v>
      </c>
      <c r="EK87" s="2">
        <v>4249.0643867409999</v>
      </c>
      <c r="EL87" s="2">
        <v>-24.396783519</v>
      </c>
      <c r="EM87" s="2">
        <v>-21.558281311999991</v>
      </c>
      <c r="EN87" s="2">
        <v>-3.5710159820000009</v>
      </c>
      <c r="EO87" s="2">
        <v>344.729850188</v>
      </c>
      <c r="EP87" s="2">
        <v>5.4053757530000004</v>
      </c>
      <c r="EQ87" s="2">
        <v>-16.584026310000002</v>
      </c>
      <c r="ER87" s="2">
        <v>-43.667972288999998</v>
      </c>
      <c r="ES87" s="2">
        <v>1345.2830834400002</v>
      </c>
      <c r="ET87" s="2">
        <v>19.676582859000003</v>
      </c>
      <c r="EU87" s="2">
        <v>-53.045591954999999</v>
      </c>
      <c r="EV87" s="2">
        <v>-87.584912527000014</v>
      </c>
      <c r="EW87" s="2">
        <v>-27.331768050999997</v>
      </c>
      <c r="EX87" s="2">
        <v>4.2150493379999974</v>
      </c>
      <c r="EY87" s="2">
        <v>-49.833938994999997</v>
      </c>
      <c r="EZ87" s="2">
        <v>-31.434868881000011</v>
      </c>
      <c r="FA87" s="2">
        <v>401.81569651699999</v>
      </c>
      <c r="FB87" s="2">
        <v>-121.64265983899999</v>
      </c>
      <c r="FC87" s="2">
        <v>-21.062096620000002</v>
      </c>
      <c r="FD87" s="2">
        <v>3337.287931198</v>
      </c>
      <c r="FE87" s="2">
        <v>202.10336408399999</v>
      </c>
      <c r="FF87" s="2">
        <v>-57.975522908999999</v>
      </c>
      <c r="FG87" s="2">
        <v>-15.357326034999991</v>
      </c>
      <c r="FH87" s="2">
        <v>-23.190076551000004</v>
      </c>
      <c r="FI87" s="2">
        <v>2.2251242539999949</v>
      </c>
      <c r="FJ87" s="2">
        <v>-0.49993809799999872</v>
      </c>
      <c r="FK87" s="2">
        <v>-19.066389751000003</v>
      </c>
      <c r="FL87" s="2">
        <v>178.22939996100001</v>
      </c>
      <c r="FM87" s="2">
        <v>840.09852709200004</v>
      </c>
      <c r="FN87" s="2">
        <v>-8.9462835670000054</v>
      </c>
      <c r="FO87" s="2">
        <v>27.880284091</v>
      </c>
      <c r="FP87" s="2">
        <v>2947.5850212999999</v>
      </c>
      <c r="FQ87" s="2">
        <v>-50.321581063999993</v>
      </c>
      <c r="FR87" s="2">
        <v>547.27351898899997</v>
      </c>
      <c r="FS87" s="2">
        <v>343.98755298200001</v>
      </c>
      <c r="FT87" s="2">
        <v>-29.963271238999994</v>
      </c>
      <c r="FU87" s="2">
        <v>88.195571947000005</v>
      </c>
      <c r="FV87" s="2">
        <v>-63.300396843000001</v>
      </c>
      <c r="FW87" s="2">
        <v>-55.287787555000001</v>
      </c>
      <c r="FX87" s="2">
        <v>235.76862823700003</v>
      </c>
      <c r="FY87" s="2">
        <v>-27.768394101999991</v>
      </c>
      <c r="FZ87" s="2">
        <v>0</v>
      </c>
      <c r="GA87" s="2">
        <v>20.908327373999999</v>
      </c>
      <c r="GB87" s="22">
        <v>2916.3814563289998</v>
      </c>
      <c r="GC87" s="22">
        <v>132.19677831899997</v>
      </c>
      <c r="GD87" s="22">
        <v>-44.889280030999991</v>
      </c>
      <c r="GE87" s="22">
        <v>141.643231429</v>
      </c>
      <c r="GF87" s="22">
        <v>6.1162984769999893</v>
      </c>
      <c r="GG87" s="22">
        <v>16.277706800000001</v>
      </c>
      <c r="GH87" s="22">
        <v>32.191184696000008</v>
      </c>
      <c r="GI87" s="22">
        <v>183.62521511900002</v>
      </c>
      <c r="GJ87" s="22">
        <v>627.39497833600001</v>
      </c>
      <c r="GK87" s="22">
        <v>29.124422525000004</v>
      </c>
      <c r="GL87" s="23">
        <v>40.607175172000005</v>
      </c>
      <c r="GM87" s="23">
        <v>3050.0700019779997</v>
      </c>
      <c r="GN87" s="23">
        <v>204.01479803900003</v>
      </c>
      <c r="GO87" s="23">
        <v>18.34676943900001</v>
      </c>
      <c r="GP87" s="23">
        <v>-234.35498672399999</v>
      </c>
      <c r="GQ87" s="23">
        <v>51.598849901000008</v>
      </c>
      <c r="GR87" s="23">
        <v>-7.5601400629999986</v>
      </c>
      <c r="GS87" s="23">
        <v>247.27054249500003</v>
      </c>
      <c r="GT87" s="23">
        <v>192.71793415799999</v>
      </c>
      <c r="GU87" s="23">
        <v>793.52610765800011</v>
      </c>
      <c r="GV87" s="23">
        <v>582.96251167299999</v>
      </c>
      <c r="GW87" s="23">
        <v>389.15096105299995</v>
      </c>
      <c r="GX87" s="23">
        <v>3416.1313538510003</v>
      </c>
      <c r="GY87" s="23">
        <v>944.00456558899998</v>
      </c>
      <c r="GZ87" s="23">
        <v>-48.328421016731014</v>
      </c>
      <c r="HA87" s="23">
        <v>7237.6008495440001</v>
      </c>
      <c r="HB87" s="23">
        <v>1273.7682324259999</v>
      </c>
      <c r="HC87" s="23">
        <v>165.262285174</v>
      </c>
      <c r="HD87" s="23">
        <v>525.74172995459799</v>
      </c>
      <c r="HE87" s="23">
        <v>113.50591267799999</v>
      </c>
      <c r="HF87" s="23"/>
      <c r="HG87" s="23"/>
      <c r="HH87" s="23"/>
      <c r="HI87" s="23"/>
    </row>
    <row r="88" spans="1:217" ht="6" customHeight="1">
      <c r="A88" s="29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</row>
    <row r="89" spans="1:217" s="26" customFormat="1" ht="14.25">
      <c r="A89" s="26" t="s">
        <v>100</v>
      </c>
      <c r="B89" s="27">
        <v>-387.004783965</v>
      </c>
      <c r="C89" s="27">
        <v>-212.42874322199998</v>
      </c>
      <c r="D89" s="27">
        <v>-5.4845843759999999</v>
      </c>
      <c r="E89" s="27">
        <v>-47.293861151000002</v>
      </c>
      <c r="F89" s="27">
        <v>-0.45647633599999998</v>
      </c>
      <c r="G89" s="27">
        <v>-1.8353850760000001</v>
      </c>
      <c r="H89" s="27">
        <v>-14.458470055999999</v>
      </c>
      <c r="I89" s="27">
        <v>-151.16037900800001</v>
      </c>
      <c r="J89" s="27">
        <v>-5.7644804939999998</v>
      </c>
      <c r="K89" s="27">
        <v>-0.17494074699999998</v>
      </c>
      <c r="L89" s="27">
        <v>-4.1327522910000001</v>
      </c>
      <c r="M89" s="27">
        <v>-0.47015026100000001</v>
      </c>
      <c r="N89" s="27">
        <v>-329.57913787500001</v>
      </c>
      <c r="O89" s="27">
        <v>-203.855795</v>
      </c>
      <c r="P89" s="27">
        <v>0</v>
      </c>
      <c r="Q89" s="27">
        <v>-4.9000000000001733E-7</v>
      </c>
      <c r="R89" s="27">
        <v>0</v>
      </c>
      <c r="S89" s="27">
        <v>4.4699999998676354E-7</v>
      </c>
      <c r="T89" s="27">
        <v>7.3999999999213584E-8</v>
      </c>
      <c r="U89" s="27">
        <v>-9.4899999991682193E-7</v>
      </c>
      <c r="V89" s="27">
        <v>5.1800000024082582E-7</v>
      </c>
      <c r="W89" s="27">
        <v>9.1500000021227379E-7</v>
      </c>
      <c r="X89" s="27">
        <v>-2.8000000007466497E-7</v>
      </c>
      <c r="Y89" s="27">
        <v>3.900000056233921E-8</v>
      </c>
      <c r="Z89" s="27">
        <v>-106.953026686</v>
      </c>
      <c r="AA89" s="27">
        <v>-17.266632893365028</v>
      </c>
      <c r="AB89" s="27">
        <v>0</v>
      </c>
      <c r="AC89" s="27">
        <v>0</v>
      </c>
      <c r="AD89" s="27">
        <v>0</v>
      </c>
      <c r="AE89" s="27">
        <v>0</v>
      </c>
      <c r="AF89" s="27">
        <v>0</v>
      </c>
      <c r="AG89" s="27">
        <v>0</v>
      </c>
      <c r="AH89" s="27">
        <v>0</v>
      </c>
      <c r="AI89" s="27">
        <v>0</v>
      </c>
      <c r="AJ89" s="27">
        <v>0</v>
      </c>
      <c r="AK89" s="27">
        <v>0</v>
      </c>
      <c r="AL89" s="27">
        <v>-270.29268307440003</v>
      </c>
      <c r="AM89" s="27">
        <v>-18.154523542000003</v>
      </c>
      <c r="AN89" s="27">
        <v>0</v>
      </c>
      <c r="AO89" s="27">
        <v>0</v>
      </c>
      <c r="AP89" s="27">
        <v>0</v>
      </c>
      <c r="AQ89" s="27">
        <v>-9.8011876392689601E-17</v>
      </c>
      <c r="AR89" s="27">
        <v>0</v>
      </c>
      <c r="AS89" s="27">
        <v>-4.5102810375396984E-17</v>
      </c>
      <c r="AT89" s="27">
        <v>3.9470000000392249E-6</v>
      </c>
      <c r="AU89" s="27">
        <v>-3.9470000000392249E-6</v>
      </c>
      <c r="AV89" s="27">
        <v>1.214306433183765E-17</v>
      </c>
      <c r="AW89" s="27">
        <v>0</v>
      </c>
      <c r="AX89" s="27">
        <v>-356.11716915799997</v>
      </c>
      <c r="AY89" s="27">
        <v>-188.46380166900002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-0.20862697599999999</v>
      </c>
      <c r="BG89" s="27">
        <v>0</v>
      </c>
      <c r="BH89" s="27">
        <v>0</v>
      </c>
      <c r="BI89" s="27">
        <v>0</v>
      </c>
      <c r="BJ89" s="27">
        <v>-651.86770296400005</v>
      </c>
      <c r="BK89" s="27">
        <v>-176.825032067</v>
      </c>
      <c r="BL89" s="27">
        <v>0</v>
      </c>
      <c r="BM89" s="27">
        <v>0</v>
      </c>
      <c r="BN89" s="27">
        <v>0</v>
      </c>
      <c r="BO89" s="27">
        <v>0</v>
      </c>
      <c r="BP89" s="27">
        <v>0</v>
      </c>
      <c r="BQ89" s="27">
        <v>-3.8857805861880479E-16</v>
      </c>
      <c r="BR89" s="27">
        <v>-3.2395988000000001E-2</v>
      </c>
      <c r="BS89" s="27">
        <v>0</v>
      </c>
      <c r="BT89" s="27">
        <v>0</v>
      </c>
      <c r="BU89" s="27">
        <v>0</v>
      </c>
      <c r="BV89" s="27">
        <v>-401.20381010200003</v>
      </c>
      <c r="BW89" s="27">
        <v>186.85999381400001</v>
      </c>
      <c r="BX89" s="27">
        <v>-205.89417468299999</v>
      </c>
      <c r="BY89" s="27">
        <v>87.314275295999991</v>
      </c>
      <c r="BZ89" s="27">
        <v>-58.247000588999995</v>
      </c>
      <c r="CA89" s="27">
        <v>-73.235348713999997</v>
      </c>
      <c r="CB89" s="27">
        <v>22.830590737999998</v>
      </c>
      <c r="CC89" s="27">
        <v>18.416204256</v>
      </c>
      <c r="CD89" s="27">
        <v>-203.61293891400001</v>
      </c>
      <c r="CE89" s="27">
        <v>51.840545212999999</v>
      </c>
      <c r="CF89" s="27">
        <v>71.028665791999998</v>
      </c>
      <c r="CG89" s="27">
        <v>-430.13018530500005</v>
      </c>
      <c r="CH89" s="27">
        <v>-312.21079808300004</v>
      </c>
      <c r="CI89" s="27">
        <v>-77.440469233000002</v>
      </c>
      <c r="CJ89" s="27">
        <v>84.016709614999996</v>
      </c>
      <c r="CK89" s="27">
        <v>-150.47172007700001</v>
      </c>
      <c r="CL89" s="27">
        <v>107.69318096299999</v>
      </c>
      <c r="CM89" s="27">
        <v>-68.65284700700002</v>
      </c>
      <c r="CN89" s="27">
        <v>69.190643311999992</v>
      </c>
      <c r="CO89" s="27">
        <v>-10.495122491</v>
      </c>
      <c r="CP89" s="27">
        <v>-132.40215623200001</v>
      </c>
      <c r="CQ89" s="27">
        <v>21.553071745999997</v>
      </c>
      <c r="CR89" s="27">
        <v>-199.813494561</v>
      </c>
      <c r="CS89" s="27">
        <v>-328.61113109500002</v>
      </c>
      <c r="CT89" s="27">
        <v>-395.74569453300001</v>
      </c>
      <c r="CU89" s="27">
        <v>-44.276939551000005</v>
      </c>
      <c r="CV89" s="27">
        <v>66.792636489000003</v>
      </c>
      <c r="CW89" s="27">
        <v>-71.507689123999995</v>
      </c>
      <c r="CX89" s="27">
        <v>22.905331859999997</v>
      </c>
      <c r="CY89" s="27">
        <v>22.108278488</v>
      </c>
      <c r="CZ89" s="27">
        <v>69.247522703000001</v>
      </c>
      <c r="DA89" s="27">
        <v>-62.291103722000003</v>
      </c>
      <c r="DB89" s="27">
        <v>3.2942988839999998</v>
      </c>
      <c r="DC89" s="27">
        <v>-55.032228827000004</v>
      </c>
      <c r="DD89" s="27">
        <v>-70.491149344999997</v>
      </c>
      <c r="DE89" s="27">
        <v>-790.95000625099999</v>
      </c>
      <c r="DF89" s="27">
        <v>-353.61568456700002</v>
      </c>
      <c r="DG89" s="27">
        <v>-54.086164793000002</v>
      </c>
      <c r="DH89" s="27">
        <v>-49.763671431000006</v>
      </c>
      <c r="DI89" s="27">
        <v>-107.062215256</v>
      </c>
      <c r="DJ89" s="27">
        <v>132.45982534499998</v>
      </c>
      <c r="DK89" s="27">
        <v>-59.581203439000006</v>
      </c>
      <c r="DL89" s="27">
        <v>-39.946351782000001</v>
      </c>
      <c r="DM89" s="27">
        <v>71.580165211999997</v>
      </c>
      <c r="DN89" s="27">
        <v>39.601631069999996</v>
      </c>
      <c r="DO89" s="27">
        <v>3.7838559940000001</v>
      </c>
      <c r="DP89" s="27">
        <v>-726.21687829600012</v>
      </c>
      <c r="DQ89" s="27">
        <v>-390.03967940900003</v>
      </c>
      <c r="DR89" s="27">
        <v>-794.30569217099992</v>
      </c>
      <c r="DS89" s="27">
        <v>-91.420083290999997</v>
      </c>
      <c r="DT89" s="27">
        <v>-285.17656936700001</v>
      </c>
      <c r="DU89" s="27">
        <v>119.69007908399998</v>
      </c>
      <c r="DV89" s="27">
        <v>-15.784150005000001</v>
      </c>
      <c r="DW89" s="27">
        <v>-222.10606733200001</v>
      </c>
      <c r="DX89" s="27">
        <v>-85.71417645999999</v>
      </c>
      <c r="DY89" s="27">
        <v>-156.62141021300002</v>
      </c>
      <c r="DZ89" s="27">
        <v>-235.69811386700002</v>
      </c>
      <c r="EA89" s="27">
        <v>-70.436138028000002</v>
      </c>
      <c r="EB89" s="27">
        <v>65.357709962000001</v>
      </c>
      <c r="EC89" s="27">
        <v>-19.923862618000001</v>
      </c>
      <c r="ED89" s="27">
        <v>-577.23848948900002</v>
      </c>
      <c r="EE89" s="27">
        <v>-526.97003222800004</v>
      </c>
      <c r="EF89" s="27">
        <v>-45.885000611000002</v>
      </c>
      <c r="EG89" s="27">
        <v>-133.560514541</v>
      </c>
      <c r="EH89" s="27">
        <v>-115.19405276600001</v>
      </c>
      <c r="EI89" s="27">
        <v>-27.620105655000003</v>
      </c>
      <c r="EJ89" s="27">
        <v>-293.28686927199999</v>
      </c>
      <c r="EK89" s="27">
        <v>-5.3311695510000003</v>
      </c>
      <c r="EL89" s="27">
        <v>-135.00559144499999</v>
      </c>
      <c r="EM89" s="27">
        <v>-121.58920151300001</v>
      </c>
      <c r="EN89" s="27">
        <v>-444.38565616700004</v>
      </c>
      <c r="EO89" s="27">
        <v>117.934416724</v>
      </c>
      <c r="EP89" s="27">
        <v>-763.25242008300017</v>
      </c>
      <c r="EQ89" s="27">
        <v>-50.696668930999977</v>
      </c>
      <c r="ER89" s="27">
        <v>59.527643671</v>
      </c>
      <c r="ES89" s="27">
        <v>324.919860142</v>
      </c>
      <c r="ET89" s="27">
        <v>120.450793401</v>
      </c>
      <c r="EU89" s="27">
        <v>174.24769652999998</v>
      </c>
      <c r="EV89" s="27">
        <v>25.553575266000003</v>
      </c>
      <c r="EW89" s="27">
        <v>32.029097314000012</v>
      </c>
      <c r="EX89" s="27">
        <v>-91.525952985000004</v>
      </c>
      <c r="EY89" s="27">
        <v>182.04679425799998</v>
      </c>
      <c r="EZ89" s="27">
        <v>164.56648312599998</v>
      </c>
      <c r="FA89" s="27">
        <v>-24.761385128000001</v>
      </c>
      <c r="FB89" s="27">
        <v>-645.12535535200004</v>
      </c>
      <c r="FC89" s="27">
        <v>-339.40345181500004</v>
      </c>
      <c r="FD89" s="27">
        <v>155.78987828699999</v>
      </c>
      <c r="FE89" s="27">
        <v>-0.60535269699999994</v>
      </c>
      <c r="FF89" s="27">
        <v>-101.738867648</v>
      </c>
      <c r="FG89" s="27">
        <v>-0.58099105899999992</v>
      </c>
      <c r="FH89" s="27">
        <v>-0.36406159999999999</v>
      </c>
      <c r="FI89" s="27">
        <v>-0.23719336499999999</v>
      </c>
      <c r="FJ89" s="27">
        <v>1.2500000000000001E-2</v>
      </c>
      <c r="FK89" s="27">
        <v>-4.8150399999999996E-2</v>
      </c>
      <c r="FL89" s="27">
        <v>-1.2604025E-2</v>
      </c>
      <c r="FM89" s="27">
        <v>-0.19820493299999997</v>
      </c>
      <c r="FN89" s="27">
        <v>-331.56984417400031</v>
      </c>
      <c r="FO89" s="27">
        <v>-97.896591215999933</v>
      </c>
      <c r="FP89" s="27">
        <v>3.7848901629999991</v>
      </c>
      <c r="FQ89" s="27">
        <v>371.20766089900002</v>
      </c>
      <c r="FR89" s="27">
        <v>-300.357436828</v>
      </c>
      <c r="FS89" s="27">
        <v>55.651330554000012</v>
      </c>
      <c r="FT89" s="27">
        <v>-114.76328363600001</v>
      </c>
      <c r="FU89" s="27">
        <v>-108.6276752</v>
      </c>
      <c r="FV89" s="27">
        <v>0.27087124500000004</v>
      </c>
      <c r="FW89" s="27">
        <v>283.52438373799998</v>
      </c>
      <c r="FX89" s="27">
        <v>104.49185317800001</v>
      </c>
      <c r="FY89" s="27">
        <v>111.72553622500001</v>
      </c>
      <c r="FZ89" s="27">
        <v>542.248228789</v>
      </c>
      <c r="GA89" s="27">
        <v>-61.419062000000054</v>
      </c>
      <c r="GB89" s="22">
        <v>222.443328197</v>
      </c>
      <c r="GC89" s="22">
        <v>393.890832843</v>
      </c>
      <c r="GD89" s="22">
        <v>-327.59475397599999</v>
      </c>
      <c r="GE89" s="22">
        <v>216.07864106600002</v>
      </c>
      <c r="GF89" s="22">
        <v>-55.256459083999999</v>
      </c>
      <c r="GG89" s="22">
        <v>-209.27955240700001</v>
      </c>
      <c r="GH89" s="22">
        <v>65.079265796000001</v>
      </c>
      <c r="GI89" s="22">
        <v>-242.863676811</v>
      </c>
      <c r="GJ89" s="22">
        <v>202.50186680499999</v>
      </c>
      <c r="GK89" s="22">
        <v>222.15060321800001</v>
      </c>
      <c r="GL89" s="23">
        <v>577.80001245700009</v>
      </c>
      <c r="GM89" s="23">
        <v>-358.47045496900006</v>
      </c>
      <c r="GN89" s="23">
        <v>396.46630195299997</v>
      </c>
      <c r="GO89" s="23">
        <v>-255.51881436300002</v>
      </c>
      <c r="GP89" s="23">
        <v>330.81872407000003</v>
      </c>
      <c r="GQ89" s="23">
        <v>-183.50506008000002</v>
      </c>
      <c r="GR89" s="23">
        <v>45.300901069999995</v>
      </c>
      <c r="GS89" s="23">
        <v>11.027106818999997</v>
      </c>
      <c r="GT89" s="23">
        <v>-212.57094537399999</v>
      </c>
      <c r="GU89" s="23">
        <v>133.42771304899998</v>
      </c>
      <c r="GV89" s="23">
        <v>473.04133215899998</v>
      </c>
      <c r="GW89" s="23">
        <v>238.97001994499999</v>
      </c>
      <c r="GX89" s="23">
        <v>878.87078529499979</v>
      </c>
      <c r="GY89" s="23">
        <v>-256.92266118699996</v>
      </c>
      <c r="GZ89" s="23">
        <v>584.56304763899993</v>
      </c>
      <c r="HA89" s="23">
        <v>-151.60730908099998</v>
      </c>
      <c r="HB89" s="23">
        <v>-149.61397596800001</v>
      </c>
      <c r="HC89" s="23">
        <v>-212.03982813000002</v>
      </c>
      <c r="HD89" s="23">
        <v>86.771990187000014</v>
      </c>
      <c r="HE89" s="23">
        <v>-13.411818305000001</v>
      </c>
      <c r="HF89" s="23"/>
      <c r="HG89" s="23"/>
      <c r="HH89" s="23"/>
      <c r="HI89" s="23"/>
    </row>
    <row r="90" spans="1:217">
      <c r="A90" s="29" t="s">
        <v>101</v>
      </c>
      <c r="B90" s="63">
        <v>0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9.1E-4</v>
      </c>
      <c r="R90" s="63">
        <v>0</v>
      </c>
      <c r="S90" s="63">
        <v>0.12362999999999999</v>
      </c>
      <c r="T90" s="63">
        <v>2.7616999999999999E-2</v>
      </c>
      <c r="U90" s="63">
        <v>1.688482</v>
      </c>
      <c r="V90" s="63">
        <v>6.4942000000000236E-2</v>
      </c>
      <c r="W90" s="63">
        <v>6.2404169999999999</v>
      </c>
      <c r="X90" s="63">
        <v>0.87129199999999996</v>
      </c>
      <c r="Y90" s="63">
        <v>3.6509710000000006</v>
      </c>
      <c r="Z90" s="63">
        <v>0</v>
      </c>
      <c r="AA90" s="63">
        <v>0</v>
      </c>
      <c r="AB90" s="63">
        <v>0</v>
      </c>
      <c r="AC90" s="63">
        <v>0</v>
      </c>
      <c r="AD90" s="63">
        <v>0.94204235000000003</v>
      </c>
      <c r="AE90" s="63">
        <v>0</v>
      </c>
      <c r="AF90" s="63">
        <v>1.2033372959999997</v>
      </c>
      <c r="AG90" s="63">
        <v>1.6238630940000001</v>
      </c>
      <c r="AH90" s="63">
        <v>0.18117766500000015</v>
      </c>
      <c r="AI90" s="63">
        <v>2.9761653000000023E-2</v>
      </c>
      <c r="AJ90" s="63">
        <v>0.62366777400000006</v>
      </c>
      <c r="AK90" s="63">
        <v>3.3882626949999994</v>
      </c>
      <c r="AL90" s="63">
        <v>0</v>
      </c>
      <c r="AM90" s="63">
        <v>0</v>
      </c>
      <c r="AN90" s="63">
        <v>0</v>
      </c>
      <c r="AO90" s="63">
        <v>0.32347129999999996</v>
      </c>
      <c r="AP90" s="63">
        <v>1.5977775330000001</v>
      </c>
      <c r="AQ90" s="63">
        <v>-5.5513390000000978E-3</v>
      </c>
      <c r="AR90" s="63">
        <v>0</v>
      </c>
      <c r="AS90" s="63">
        <v>1.2985589999999548E-3</v>
      </c>
      <c r="AT90" s="63">
        <v>3.9470000000392249E-6</v>
      </c>
      <c r="AU90" s="63">
        <v>-3.9470000000392249E-6</v>
      </c>
      <c r="AV90" s="63">
        <v>2.1416560000000117E-3</v>
      </c>
      <c r="AW90" s="63">
        <v>2.4134659279999995</v>
      </c>
      <c r="AX90" s="63">
        <v>0</v>
      </c>
      <c r="AY90" s="63">
        <v>0</v>
      </c>
      <c r="AZ90" s="63">
        <v>0</v>
      </c>
      <c r="BA90" s="63">
        <v>0</v>
      </c>
      <c r="BB90" s="63">
        <v>0.46067200000000003</v>
      </c>
      <c r="BC90" s="63">
        <v>0</v>
      </c>
      <c r="BD90" s="63">
        <v>0</v>
      </c>
      <c r="BE90" s="63">
        <v>0</v>
      </c>
      <c r="BF90" s="63">
        <v>0</v>
      </c>
      <c r="BG90" s="63">
        <v>5.5914410999999969E-2</v>
      </c>
      <c r="BH90" s="63">
        <v>2.7448539169999999</v>
      </c>
      <c r="BI90" s="63">
        <v>4.3873902000000041E-2</v>
      </c>
      <c r="BJ90" s="63">
        <v>0</v>
      </c>
      <c r="BK90" s="63">
        <v>0</v>
      </c>
      <c r="BL90" s="63">
        <v>0.38849997800000002</v>
      </c>
      <c r="BM90" s="63">
        <v>3.2044036800000004</v>
      </c>
      <c r="BN90" s="63">
        <v>3.8864075979999999</v>
      </c>
      <c r="BO90" s="63">
        <v>0.14217588900000011</v>
      </c>
      <c r="BP90" s="63">
        <v>0.49512909800000021</v>
      </c>
      <c r="BQ90" s="63">
        <v>0.24875573199999962</v>
      </c>
      <c r="BR90" s="63">
        <v>0</v>
      </c>
      <c r="BS90" s="63">
        <v>1.2156767389999992</v>
      </c>
      <c r="BT90" s="63">
        <v>0</v>
      </c>
      <c r="BU90" s="63">
        <v>5.1778949210000027</v>
      </c>
      <c r="BV90" s="63">
        <v>0</v>
      </c>
      <c r="BW90" s="63">
        <v>0</v>
      </c>
      <c r="BX90" s="63">
        <v>0</v>
      </c>
      <c r="BY90" s="63">
        <v>0</v>
      </c>
      <c r="BZ90" s="63">
        <v>0</v>
      </c>
      <c r="CA90" s="63">
        <v>0</v>
      </c>
      <c r="CB90" s="63">
        <v>0</v>
      </c>
      <c r="CC90" s="63">
        <v>0</v>
      </c>
      <c r="CD90" s="63">
        <v>0</v>
      </c>
      <c r="CE90" s="63">
        <v>0</v>
      </c>
      <c r="CF90" s="63">
        <v>0</v>
      </c>
      <c r="CG90" s="63">
        <v>0</v>
      </c>
      <c r="CH90" s="63">
        <v>0</v>
      </c>
      <c r="CI90" s="63">
        <v>0</v>
      </c>
      <c r="CJ90" s="63">
        <v>0</v>
      </c>
      <c r="CK90" s="63">
        <v>0</v>
      </c>
      <c r="CL90" s="63">
        <v>0</v>
      </c>
      <c r="CM90" s="63">
        <v>0</v>
      </c>
      <c r="CN90" s="63">
        <v>0</v>
      </c>
      <c r="CO90" s="63">
        <v>0</v>
      </c>
      <c r="CP90" s="63">
        <v>0</v>
      </c>
      <c r="CQ90" s="63">
        <v>0</v>
      </c>
      <c r="CR90" s="63">
        <v>0</v>
      </c>
      <c r="CS90" s="63">
        <v>0</v>
      </c>
      <c r="CT90" s="63">
        <v>0</v>
      </c>
      <c r="CU90" s="63">
        <v>0</v>
      </c>
      <c r="CV90" s="63">
        <v>0</v>
      </c>
      <c r="CW90" s="63">
        <v>0</v>
      </c>
      <c r="CX90" s="63">
        <v>0</v>
      </c>
      <c r="CY90" s="63">
        <v>0</v>
      </c>
      <c r="CZ90" s="63">
        <v>0</v>
      </c>
      <c r="DA90" s="63">
        <v>0</v>
      </c>
      <c r="DB90" s="63">
        <v>0</v>
      </c>
      <c r="DC90" s="63">
        <v>0</v>
      </c>
      <c r="DD90" s="63">
        <v>0</v>
      </c>
      <c r="DE90" s="63">
        <v>0</v>
      </c>
      <c r="DF90" s="63">
        <v>0</v>
      </c>
      <c r="DG90" s="63">
        <v>0</v>
      </c>
      <c r="DH90" s="63">
        <v>0</v>
      </c>
      <c r="DI90" s="63">
        <v>0</v>
      </c>
      <c r="DJ90" s="63">
        <v>0</v>
      </c>
      <c r="DK90" s="63">
        <v>0</v>
      </c>
      <c r="DL90" s="63">
        <v>0</v>
      </c>
      <c r="DM90" s="63">
        <v>0</v>
      </c>
      <c r="DN90" s="63">
        <v>0</v>
      </c>
      <c r="DO90" s="63">
        <v>0</v>
      </c>
      <c r="DP90" s="63">
        <v>0</v>
      </c>
      <c r="DQ90" s="63">
        <v>0</v>
      </c>
      <c r="DR90" s="63">
        <v>0</v>
      </c>
      <c r="DS90" s="63">
        <v>0</v>
      </c>
      <c r="DT90" s="63">
        <v>0</v>
      </c>
      <c r="DU90" s="63">
        <v>0</v>
      </c>
      <c r="DV90" s="63">
        <v>0</v>
      </c>
      <c r="DW90" s="63">
        <v>0</v>
      </c>
      <c r="DX90" s="63">
        <v>0</v>
      </c>
      <c r="DY90" s="63">
        <v>0</v>
      </c>
      <c r="DZ90" s="63">
        <v>0</v>
      </c>
      <c r="EA90" s="63">
        <v>0</v>
      </c>
      <c r="EB90" s="63">
        <v>0</v>
      </c>
      <c r="EC90" s="63">
        <v>0</v>
      </c>
      <c r="ED90" s="63">
        <v>0</v>
      </c>
      <c r="EE90" s="63">
        <v>0</v>
      </c>
      <c r="EF90" s="63">
        <v>0</v>
      </c>
      <c r="EG90" s="63">
        <v>0</v>
      </c>
      <c r="EH90" s="63">
        <v>0</v>
      </c>
      <c r="EI90" s="63">
        <v>0</v>
      </c>
      <c r="EJ90" s="63">
        <v>0</v>
      </c>
      <c r="EK90" s="63">
        <v>0</v>
      </c>
      <c r="EL90" s="63">
        <v>0</v>
      </c>
      <c r="EM90" s="63">
        <v>0</v>
      </c>
      <c r="EN90" s="63">
        <v>0</v>
      </c>
      <c r="EO90" s="63">
        <v>0</v>
      </c>
      <c r="EP90" s="63">
        <v>761.13237191099995</v>
      </c>
      <c r="EQ90" s="63">
        <v>390.24703542999998</v>
      </c>
      <c r="ER90" s="63">
        <v>59.527643671</v>
      </c>
      <c r="ES90" s="63">
        <v>324.99271788200002</v>
      </c>
      <c r="ET90" s="63">
        <v>120.590424287</v>
      </c>
      <c r="EU90" s="63">
        <v>174.292701814</v>
      </c>
      <c r="EV90" s="63">
        <v>25.712323487000003</v>
      </c>
      <c r="EW90" s="63">
        <v>254.074166244</v>
      </c>
      <c r="EX90" s="63">
        <v>-91.275881940000005</v>
      </c>
      <c r="EY90" s="63">
        <v>241.60239357099999</v>
      </c>
      <c r="EZ90" s="63">
        <v>164.68631237599999</v>
      </c>
      <c r="FA90" s="63">
        <v>-24.761385128000001</v>
      </c>
      <c r="FB90" s="63">
        <v>1170.4963986719999</v>
      </c>
      <c r="FC90" s="63">
        <v>127.57650019499999</v>
      </c>
      <c r="FD90" s="63">
        <v>155.78987828699999</v>
      </c>
      <c r="FE90" s="63">
        <v>0</v>
      </c>
      <c r="FF90" s="63">
        <v>0</v>
      </c>
      <c r="FG90" s="63">
        <v>0</v>
      </c>
      <c r="FH90" s="63">
        <v>0</v>
      </c>
      <c r="FI90" s="63">
        <v>0</v>
      </c>
      <c r="FJ90" s="63">
        <v>0</v>
      </c>
      <c r="FK90" s="63">
        <v>0</v>
      </c>
      <c r="FL90" s="63">
        <v>0</v>
      </c>
      <c r="FM90" s="63">
        <v>0</v>
      </c>
      <c r="FN90" s="63">
        <v>1192.8149478199998</v>
      </c>
      <c r="FO90" s="63">
        <v>343.04711314500003</v>
      </c>
      <c r="FP90" s="63">
        <v>5.1232237189999994</v>
      </c>
      <c r="FQ90" s="63">
        <v>371.252900899</v>
      </c>
      <c r="FR90" s="63">
        <v>-297.62547077700003</v>
      </c>
      <c r="FS90" s="63">
        <v>159.50832863100001</v>
      </c>
      <c r="FT90" s="63">
        <v>-114.63617905300001</v>
      </c>
      <c r="FU90" s="63">
        <v>-108.625003045</v>
      </c>
      <c r="FV90" s="63">
        <v>0.27019909000000003</v>
      </c>
      <c r="FW90" s="63">
        <v>283.578036768</v>
      </c>
      <c r="FX90" s="63">
        <v>106.88429803000001</v>
      </c>
      <c r="FY90" s="63">
        <v>113.02634178400001</v>
      </c>
      <c r="FZ90" s="63">
        <v>953.19247907199997</v>
      </c>
      <c r="GA90" s="63">
        <v>475.89779623200002</v>
      </c>
      <c r="GB90" s="22">
        <v>222.443328197</v>
      </c>
      <c r="GC90" s="22">
        <v>393.890832843</v>
      </c>
      <c r="GD90" s="22">
        <v>-327.59475397599999</v>
      </c>
      <c r="GE90" s="22">
        <v>216.07864106600002</v>
      </c>
      <c r="GF90" s="22">
        <v>-55.256459083999999</v>
      </c>
      <c r="GG90" s="22">
        <v>-208.906492407</v>
      </c>
      <c r="GH90" s="22">
        <v>65.109265796000003</v>
      </c>
      <c r="GI90" s="22">
        <v>-242.85766252499999</v>
      </c>
      <c r="GJ90" s="22">
        <v>240.24806854299999</v>
      </c>
      <c r="GK90" s="22">
        <v>242.24319404900001</v>
      </c>
      <c r="GL90" s="23">
        <v>1099.6746223540001</v>
      </c>
      <c r="GM90" s="23">
        <v>293.40019635300001</v>
      </c>
      <c r="GN90" s="23">
        <v>414.77893501199998</v>
      </c>
      <c r="GO90" s="23">
        <v>-230.11766293600002</v>
      </c>
      <c r="GP90" s="23">
        <v>344.23054237500003</v>
      </c>
      <c r="GQ90" s="23">
        <v>-169.76146013100001</v>
      </c>
      <c r="GR90" s="23">
        <v>58.815059374999997</v>
      </c>
      <c r="GS90" s="23">
        <v>110.023813515</v>
      </c>
      <c r="GT90" s="23">
        <v>-195.28072236899999</v>
      </c>
      <c r="GU90" s="23">
        <v>147.06858518799999</v>
      </c>
      <c r="GV90" s="23">
        <v>500.648354391</v>
      </c>
      <c r="GW90" s="23">
        <v>239.744681082</v>
      </c>
      <c r="GX90" s="23">
        <v>1162.4274716409998</v>
      </c>
      <c r="GY90" s="23">
        <v>308.676937689</v>
      </c>
      <c r="GZ90" s="23">
        <v>597.97486594399993</v>
      </c>
      <c r="HA90" s="23">
        <v>-138.153609776</v>
      </c>
      <c r="HB90" s="23">
        <v>-135.14141665100001</v>
      </c>
      <c r="HC90" s="23">
        <v>-198.34726433100002</v>
      </c>
      <c r="HD90" s="23">
        <v>100.69326934300001</v>
      </c>
      <c r="HE90" s="23">
        <v>0</v>
      </c>
      <c r="HF90" s="23"/>
      <c r="HG90" s="23"/>
      <c r="HH90" s="23"/>
      <c r="HI90" s="23"/>
    </row>
    <row r="91" spans="1:217">
      <c r="A91" s="29" t="s">
        <v>102</v>
      </c>
      <c r="B91" s="63">
        <v>387.004783965</v>
      </c>
      <c r="C91" s="63">
        <v>212.42874322199998</v>
      </c>
      <c r="D91" s="63">
        <v>5.4845843759999999</v>
      </c>
      <c r="E91" s="63">
        <v>47.293861151000002</v>
      </c>
      <c r="F91" s="63">
        <v>0.45647633599999998</v>
      </c>
      <c r="G91" s="63">
        <v>1.8353850760000001</v>
      </c>
      <c r="H91" s="63">
        <v>14.458470055999999</v>
      </c>
      <c r="I91" s="63">
        <v>151.16037900800001</v>
      </c>
      <c r="J91" s="63">
        <v>5.7644804939999998</v>
      </c>
      <c r="K91" s="63">
        <v>0.17494074699999998</v>
      </c>
      <c r="L91" s="63">
        <v>4.1327522910000001</v>
      </c>
      <c r="M91" s="63">
        <v>0.47015026100000001</v>
      </c>
      <c r="N91" s="63">
        <v>329.57913787500001</v>
      </c>
      <c r="O91" s="63">
        <v>203.855795</v>
      </c>
      <c r="P91" s="63">
        <v>0</v>
      </c>
      <c r="Q91" s="63">
        <v>9.1049000000000002E-4</v>
      </c>
      <c r="R91" s="63">
        <v>0</v>
      </c>
      <c r="S91" s="63">
        <v>0.123629553</v>
      </c>
      <c r="T91" s="63">
        <v>2.7616926E-2</v>
      </c>
      <c r="U91" s="63">
        <v>1.688482949</v>
      </c>
      <c r="V91" s="63">
        <v>6.4941481999999995E-2</v>
      </c>
      <c r="W91" s="63">
        <v>6.2404160849999997</v>
      </c>
      <c r="X91" s="63">
        <v>0.87129228000000003</v>
      </c>
      <c r="Y91" s="63">
        <v>3.6509709610000001</v>
      </c>
      <c r="Z91" s="63">
        <v>106.953026686</v>
      </c>
      <c r="AA91" s="63">
        <v>17.266632893365028</v>
      </c>
      <c r="AB91" s="63">
        <v>0</v>
      </c>
      <c r="AC91" s="63">
        <v>0</v>
      </c>
      <c r="AD91" s="63">
        <v>0.94204235000000003</v>
      </c>
      <c r="AE91" s="63">
        <v>0</v>
      </c>
      <c r="AF91" s="63">
        <v>1.2033372959999999</v>
      </c>
      <c r="AG91" s="63">
        <v>1.6238630939999998</v>
      </c>
      <c r="AH91" s="63">
        <v>0.18117766499999999</v>
      </c>
      <c r="AI91" s="63">
        <v>2.9761652999999999E-2</v>
      </c>
      <c r="AJ91" s="63">
        <v>0.62366777400000006</v>
      </c>
      <c r="AK91" s="63">
        <v>3.3882626949999999</v>
      </c>
      <c r="AL91" s="63">
        <v>270.29268307440003</v>
      </c>
      <c r="AM91" s="63">
        <v>18.154523542000003</v>
      </c>
      <c r="AN91" s="63">
        <v>0</v>
      </c>
      <c r="AO91" s="63">
        <v>0.32347129999999996</v>
      </c>
      <c r="AP91" s="63">
        <v>1.5977775329999999</v>
      </c>
      <c r="AQ91" s="63">
        <v>-5.5513389999999998E-3</v>
      </c>
      <c r="AR91" s="63">
        <v>0</v>
      </c>
      <c r="AS91" s="63">
        <v>1.2985589999999999E-3</v>
      </c>
      <c r="AT91" s="63">
        <v>0</v>
      </c>
      <c r="AU91" s="63">
        <v>0</v>
      </c>
      <c r="AV91" s="63">
        <v>2.1416559999999996E-3</v>
      </c>
      <c r="AW91" s="63">
        <v>2.4134659279999999</v>
      </c>
      <c r="AX91" s="63">
        <v>356.11716915799997</v>
      </c>
      <c r="AY91" s="63">
        <v>188.46380166900002</v>
      </c>
      <c r="AZ91" s="63">
        <v>0</v>
      </c>
      <c r="BA91" s="63">
        <v>0</v>
      </c>
      <c r="BB91" s="63">
        <v>0.46067200000000003</v>
      </c>
      <c r="BC91" s="63">
        <v>0</v>
      </c>
      <c r="BD91" s="63">
        <v>0</v>
      </c>
      <c r="BE91" s="63">
        <v>0</v>
      </c>
      <c r="BF91" s="63">
        <v>0.20862697599999999</v>
      </c>
      <c r="BG91" s="63">
        <v>5.5914411000000004E-2</v>
      </c>
      <c r="BH91" s="63">
        <v>2.7448539169999999</v>
      </c>
      <c r="BI91" s="63">
        <v>4.3873901999999999E-2</v>
      </c>
      <c r="BJ91" s="63">
        <v>651.86770296400005</v>
      </c>
      <c r="BK91" s="63">
        <v>176.825032067</v>
      </c>
      <c r="BL91" s="63">
        <v>0.38849997800000002</v>
      </c>
      <c r="BM91" s="63">
        <v>3.20440368</v>
      </c>
      <c r="BN91" s="63">
        <v>3.8864075980000004</v>
      </c>
      <c r="BO91" s="63">
        <v>0.142175889</v>
      </c>
      <c r="BP91" s="63">
        <v>0.49512909799999999</v>
      </c>
      <c r="BQ91" s="63">
        <v>0.24875573200000001</v>
      </c>
      <c r="BR91" s="63">
        <v>3.2395988000000001E-2</v>
      </c>
      <c r="BS91" s="63">
        <v>1.2156767390000001</v>
      </c>
      <c r="BT91" s="63">
        <v>0</v>
      </c>
      <c r="BU91" s="63">
        <v>5.177894921</v>
      </c>
      <c r="BV91" s="63">
        <v>401.20381010200003</v>
      </c>
      <c r="BW91" s="63">
        <v>-186.85999381400001</v>
      </c>
      <c r="BX91" s="63">
        <v>205.89417468299999</v>
      </c>
      <c r="BY91" s="63">
        <v>-87.314275295999991</v>
      </c>
      <c r="BZ91" s="63">
        <v>58.247000588999995</v>
      </c>
      <c r="CA91" s="63">
        <v>73.235348713999997</v>
      </c>
      <c r="CB91" s="63">
        <v>-22.830590737999998</v>
      </c>
      <c r="CC91" s="63">
        <v>-18.416204256</v>
      </c>
      <c r="CD91" s="63">
        <v>203.61293891400001</v>
      </c>
      <c r="CE91" s="63">
        <v>-51.840545212999999</v>
      </c>
      <c r="CF91" s="63">
        <v>-71.028665791999998</v>
      </c>
      <c r="CG91" s="63">
        <v>430.13018530500005</v>
      </c>
      <c r="CH91" s="63">
        <v>312.21079808300004</v>
      </c>
      <c r="CI91" s="63">
        <v>77.440469233000002</v>
      </c>
      <c r="CJ91" s="63">
        <v>-84.016709614999996</v>
      </c>
      <c r="CK91" s="63">
        <v>150.47172007700001</v>
      </c>
      <c r="CL91" s="63">
        <v>-107.69318096299999</v>
      </c>
      <c r="CM91" s="63">
        <v>68.65284700700002</v>
      </c>
      <c r="CN91" s="63">
        <v>-69.190643311999992</v>
      </c>
      <c r="CO91" s="63">
        <v>10.495122491</v>
      </c>
      <c r="CP91" s="63">
        <v>132.40215623200001</v>
      </c>
      <c r="CQ91" s="63">
        <v>-21.553071745999997</v>
      </c>
      <c r="CR91" s="63">
        <v>199.813494561</v>
      </c>
      <c r="CS91" s="63">
        <v>328.61113109500002</v>
      </c>
      <c r="CT91" s="63">
        <v>395.74569453300001</v>
      </c>
      <c r="CU91" s="63">
        <v>44.276939551000005</v>
      </c>
      <c r="CV91" s="63">
        <v>-66.792636489000003</v>
      </c>
      <c r="CW91" s="63">
        <v>71.507689123999995</v>
      </c>
      <c r="CX91" s="63">
        <v>-22.905331859999997</v>
      </c>
      <c r="CY91" s="63">
        <v>-22.108278488</v>
      </c>
      <c r="CZ91" s="63">
        <v>-69.247522703000001</v>
      </c>
      <c r="DA91" s="63">
        <v>62.291103722000003</v>
      </c>
      <c r="DB91" s="63">
        <v>-3.2942988839999998</v>
      </c>
      <c r="DC91" s="63">
        <v>55.032228827000004</v>
      </c>
      <c r="DD91" s="63">
        <v>70.491149344999997</v>
      </c>
      <c r="DE91" s="63">
        <v>790.95000625099999</v>
      </c>
      <c r="DF91" s="63">
        <v>353.61568456700002</v>
      </c>
      <c r="DG91" s="63">
        <v>54.086164793000002</v>
      </c>
      <c r="DH91" s="63">
        <v>49.763671431000006</v>
      </c>
      <c r="DI91" s="63">
        <v>107.062215256</v>
      </c>
      <c r="DJ91" s="63">
        <v>-132.45982534499998</v>
      </c>
      <c r="DK91" s="63">
        <v>59.581203439000006</v>
      </c>
      <c r="DL91" s="63">
        <v>39.946351782000001</v>
      </c>
      <c r="DM91" s="63">
        <v>-71.580165211999997</v>
      </c>
      <c r="DN91" s="63">
        <v>-39.601631069999996</v>
      </c>
      <c r="DO91" s="63">
        <v>-3.7838559940000001</v>
      </c>
      <c r="DP91" s="63">
        <v>726.21687829600012</v>
      </c>
      <c r="DQ91" s="63">
        <v>390.03967940900003</v>
      </c>
      <c r="DR91" s="63">
        <v>794.30569217099992</v>
      </c>
      <c r="DS91" s="63">
        <v>91.420083290999997</v>
      </c>
      <c r="DT91" s="63">
        <v>285.17656936700001</v>
      </c>
      <c r="DU91" s="63">
        <v>-119.69007908399998</v>
      </c>
      <c r="DV91" s="63">
        <v>15.784150005000001</v>
      </c>
      <c r="DW91" s="63">
        <v>222.10606733200001</v>
      </c>
      <c r="DX91" s="63">
        <v>85.71417645999999</v>
      </c>
      <c r="DY91" s="63">
        <v>156.62141021300002</v>
      </c>
      <c r="DZ91" s="63">
        <v>235.69811386700002</v>
      </c>
      <c r="EA91" s="63">
        <v>70.436138028000002</v>
      </c>
      <c r="EB91" s="63">
        <v>-65.357709962000001</v>
      </c>
      <c r="EC91" s="63">
        <v>19.923862618000001</v>
      </c>
      <c r="ED91" s="63">
        <v>577.23848948900002</v>
      </c>
      <c r="EE91" s="63">
        <v>526.97003222800004</v>
      </c>
      <c r="EF91" s="63">
        <v>45.885000611000002</v>
      </c>
      <c r="EG91" s="63">
        <v>133.560514541</v>
      </c>
      <c r="EH91" s="63">
        <v>115.19405276600001</v>
      </c>
      <c r="EI91" s="63">
        <v>27.620105655000003</v>
      </c>
      <c r="EJ91" s="63">
        <v>293.28686927199999</v>
      </c>
      <c r="EK91" s="63">
        <v>5.3311695510000003</v>
      </c>
      <c r="EL91" s="63">
        <v>135.00559144499999</v>
      </c>
      <c r="EM91" s="63">
        <v>121.58920151300001</v>
      </c>
      <c r="EN91" s="63">
        <v>444.38565616700004</v>
      </c>
      <c r="EO91" s="63">
        <v>-117.934416724</v>
      </c>
      <c r="EP91" s="63">
        <v>1524.3847919940001</v>
      </c>
      <c r="EQ91" s="63">
        <v>440.94370436099996</v>
      </c>
      <c r="ER91" s="63">
        <v>0</v>
      </c>
      <c r="ES91" s="63">
        <v>7.2857740000000004E-2</v>
      </c>
      <c r="ET91" s="63">
        <v>0.13963088600000001</v>
      </c>
      <c r="EU91" s="63">
        <v>4.5005284000000007E-2</v>
      </c>
      <c r="EV91" s="63">
        <v>0.15874822099999999</v>
      </c>
      <c r="EW91" s="63">
        <v>222.04506892999999</v>
      </c>
      <c r="EX91" s="63">
        <v>0.25007104499999999</v>
      </c>
      <c r="EY91" s="63">
        <v>59.555599313000002</v>
      </c>
      <c r="EZ91" s="63">
        <v>0.11982925</v>
      </c>
      <c r="FA91" s="63">
        <v>0</v>
      </c>
      <c r="FB91" s="63">
        <v>1815.621754024</v>
      </c>
      <c r="FC91" s="63">
        <v>466.97995201000003</v>
      </c>
      <c r="FD91" s="63">
        <v>0</v>
      </c>
      <c r="FE91" s="63">
        <v>0.60535269699999994</v>
      </c>
      <c r="FF91" s="63">
        <v>101.738867648</v>
      </c>
      <c r="FG91" s="63">
        <v>0.58099105899999992</v>
      </c>
      <c r="FH91" s="63">
        <v>0.36406159999999999</v>
      </c>
      <c r="FI91" s="63">
        <v>0.23719336499999999</v>
      </c>
      <c r="FJ91" s="63">
        <v>-1.2500000000000001E-2</v>
      </c>
      <c r="FK91" s="63">
        <v>4.8150399999999996E-2</v>
      </c>
      <c r="FL91" s="63">
        <v>1.2604025E-2</v>
      </c>
      <c r="FM91" s="63">
        <v>0.19820493299999997</v>
      </c>
      <c r="FN91" s="63">
        <v>1524.3847919940001</v>
      </c>
      <c r="FO91" s="63">
        <v>440.94370436099996</v>
      </c>
      <c r="FP91" s="63">
        <v>1.338333556</v>
      </c>
      <c r="FQ91" s="63">
        <v>4.5240000000000002E-2</v>
      </c>
      <c r="FR91" s="63">
        <v>2.7319660509999997</v>
      </c>
      <c r="FS91" s="63">
        <v>103.856998077</v>
      </c>
      <c r="FT91" s="63">
        <v>0.12710458299999999</v>
      </c>
      <c r="FU91" s="63">
        <v>2.6721549999999998E-3</v>
      </c>
      <c r="FV91" s="63">
        <v>-6.7215499999999991E-4</v>
      </c>
      <c r="FW91" s="63">
        <v>5.3653030000000004E-2</v>
      </c>
      <c r="FX91" s="63">
        <v>2.3924448520000001</v>
      </c>
      <c r="FY91" s="63">
        <v>1.3008055589999998</v>
      </c>
      <c r="FZ91" s="63">
        <v>410.94425028299997</v>
      </c>
      <c r="GA91" s="63">
        <v>537.31685823200007</v>
      </c>
      <c r="GB91" s="22">
        <v>0</v>
      </c>
      <c r="GC91" s="22">
        <v>0</v>
      </c>
      <c r="GD91" s="22">
        <v>0</v>
      </c>
      <c r="GE91" s="22">
        <v>0</v>
      </c>
      <c r="GF91" s="22">
        <v>0</v>
      </c>
      <c r="GG91" s="22">
        <v>0.37306</v>
      </c>
      <c r="GH91" s="22">
        <v>0.03</v>
      </c>
      <c r="GI91" s="22">
        <v>6.0142860000000006E-3</v>
      </c>
      <c r="GJ91" s="22">
        <v>37.746201738000003</v>
      </c>
      <c r="GK91" s="22">
        <v>20.092590831000003</v>
      </c>
      <c r="GL91" s="23">
        <v>521.87460989700003</v>
      </c>
      <c r="GM91" s="23">
        <v>651.87065132200007</v>
      </c>
      <c r="GN91" s="23">
        <v>18.312633058999999</v>
      </c>
      <c r="GO91" s="23">
        <v>25.401151427000002</v>
      </c>
      <c r="GP91" s="23">
        <v>13.411818305000001</v>
      </c>
      <c r="GQ91" s="23">
        <v>13.743599949000002</v>
      </c>
      <c r="GR91" s="23">
        <v>13.514158305</v>
      </c>
      <c r="GS91" s="23">
        <v>98.996706696000004</v>
      </c>
      <c r="GT91" s="23">
        <v>17.290223005000001</v>
      </c>
      <c r="GU91" s="23">
        <v>13.640872139000001</v>
      </c>
      <c r="GV91" s="23">
        <v>27.607022232000002</v>
      </c>
      <c r="GW91" s="23">
        <v>0.77466113700000006</v>
      </c>
      <c r="GX91" s="23">
        <v>283.55668634599999</v>
      </c>
      <c r="GY91" s="23">
        <v>565.59959887599996</v>
      </c>
      <c r="GZ91" s="23">
        <v>13.411818305000001</v>
      </c>
      <c r="HA91" s="23">
        <v>13.453699305000001</v>
      </c>
      <c r="HB91" s="23">
        <v>14.472559317000002</v>
      </c>
      <c r="HC91" s="23">
        <v>13.692563799000002</v>
      </c>
      <c r="HD91" s="23">
        <v>13.921279156000001</v>
      </c>
      <c r="HE91" s="23">
        <v>13.411818305000001</v>
      </c>
      <c r="HF91" s="23"/>
      <c r="HG91" s="23"/>
      <c r="HH91" s="23"/>
      <c r="HI91" s="23"/>
    </row>
    <row r="92" spans="1:217" ht="6.75" customHeight="1">
      <c r="B92" s="6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</row>
    <row r="93" spans="1:217">
      <c r="A93" s="26" t="s">
        <v>103</v>
      </c>
      <c r="B93" s="64">
        <v>-61.645000000000003</v>
      </c>
      <c r="C93" s="64">
        <v>-61.790999999999997</v>
      </c>
      <c r="D93" s="64">
        <v>51.423000000000002</v>
      </c>
      <c r="E93" s="64">
        <v>27.187999999999999</v>
      </c>
      <c r="F93" s="64">
        <v>93.984999999999999</v>
      </c>
      <c r="G93" s="64">
        <v>-19.850999999999999</v>
      </c>
      <c r="H93" s="64">
        <v>31.724</v>
      </c>
      <c r="I93" s="64">
        <v>-56.073</v>
      </c>
      <c r="J93" s="64">
        <v>-117.491</v>
      </c>
      <c r="K93" s="64">
        <v>-144.43700000000001</v>
      </c>
      <c r="L93" s="64">
        <v>-81.421999999999997</v>
      </c>
      <c r="M93" s="64">
        <v>-51.945999999999998</v>
      </c>
      <c r="N93" s="64">
        <v>68.87</v>
      </c>
      <c r="O93" s="64">
        <v>124.29</v>
      </c>
      <c r="P93" s="64">
        <v>-50.76</v>
      </c>
      <c r="Q93" s="64">
        <v>-62.738999999999997</v>
      </c>
      <c r="R93" s="64">
        <v>-250.316</v>
      </c>
      <c r="S93" s="64">
        <v>93.710999999999999</v>
      </c>
      <c r="T93" s="64">
        <v>-146.28</v>
      </c>
      <c r="U93" s="64">
        <v>-171.21600000000001</v>
      </c>
      <c r="V93" s="64">
        <v>-125.883</v>
      </c>
      <c r="W93" s="64">
        <v>-58.744999999999997</v>
      </c>
      <c r="X93" s="64">
        <v>25.263000000000002</v>
      </c>
      <c r="Y93" s="64">
        <v>440.721</v>
      </c>
      <c r="Z93" s="64">
        <v>-158.06692788461532</v>
      </c>
      <c r="AA93" s="64">
        <v>31.570379146919421</v>
      </c>
      <c r="AB93" s="64">
        <v>-59.173463464593304</v>
      </c>
      <c r="AC93" s="64">
        <v>-169.42356056155373</v>
      </c>
      <c r="AD93" s="64">
        <v>-55.525223021582718</v>
      </c>
      <c r="AE93" s="64">
        <v>24.038886746987956</v>
      </c>
      <c r="AF93" s="64">
        <v>-53.290980198019788</v>
      </c>
      <c r="AG93" s="64">
        <v>39.265718592964795</v>
      </c>
      <c r="AH93" s="64">
        <v>-109.16025986842105</v>
      </c>
      <c r="AI93" s="64">
        <v>-106.3974032786885</v>
      </c>
      <c r="AJ93" s="64">
        <v>157.46810440456773</v>
      </c>
      <c r="AK93" s="64">
        <v>313.25650488599342</v>
      </c>
      <c r="AL93" s="64">
        <v>-118.30467698191697</v>
      </c>
      <c r="AM93" s="64">
        <v>-9.080968614670466</v>
      </c>
      <c r="AN93" s="64">
        <v>9.4870763359682027</v>
      </c>
      <c r="AO93" s="64">
        <v>-131.26542756872175</v>
      </c>
      <c r="AP93" s="64">
        <v>-283.72400016882585</v>
      </c>
      <c r="AQ93" s="64">
        <v>38.611889848739146</v>
      </c>
      <c r="AR93" s="64">
        <v>103.30288895023602</v>
      </c>
      <c r="AS93" s="64">
        <v>29.578774175619785</v>
      </c>
      <c r="AT93" s="64">
        <v>-216.85265348743334</v>
      </c>
      <c r="AU93" s="64">
        <v>-3.1155796044301951</v>
      </c>
      <c r="AV93" s="64">
        <v>-244.13206872760225</v>
      </c>
      <c r="AW93" s="64">
        <v>440.61106843496299</v>
      </c>
      <c r="AX93" s="64">
        <v>68.810293810444833</v>
      </c>
      <c r="AY93" s="64">
        <v>153.15843742231573</v>
      </c>
      <c r="AZ93" s="64">
        <v>-264.57608687258687</v>
      </c>
      <c r="BA93" s="64">
        <v>-157.55870297029702</v>
      </c>
      <c r="BB93" s="64">
        <v>-356.71601571709226</v>
      </c>
      <c r="BC93" s="64">
        <v>-29.147432539682509</v>
      </c>
      <c r="BD93" s="64">
        <v>-68.898957198443583</v>
      </c>
      <c r="BE93" s="64">
        <v>-26.87118431372549</v>
      </c>
      <c r="BF93" s="64">
        <v>-4.1766365422397103</v>
      </c>
      <c r="BG93" s="64">
        <v>-126.02477534791247</v>
      </c>
      <c r="BH93" s="64">
        <v>-412.49087136929472</v>
      </c>
      <c r="BI93" s="64">
        <v>423.71292796610169</v>
      </c>
      <c r="BJ93" s="64">
        <v>-46.747004123711278</v>
      </c>
      <c r="BK93" s="64">
        <v>25.791601279317678</v>
      </c>
      <c r="BL93" s="64">
        <v>-37.537978260869615</v>
      </c>
      <c r="BM93" s="64">
        <v>-133.74373515981728</v>
      </c>
      <c r="BN93" s="64">
        <v>-336.16269024390243</v>
      </c>
      <c r="BO93" s="64">
        <v>-99.811245700245721</v>
      </c>
      <c r="BP93" s="64">
        <v>-164.82803544303803</v>
      </c>
      <c r="BQ93" s="64">
        <v>-203.91469172932318</v>
      </c>
      <c r="BR93" s="64">
        <v>-265.52843969849255</v>
      </c>
      <c r="BS93" s="64">
        <v>-92.261651629072617</v>
      </c>
      <c r="BT93" s="64">
        <v>-409.24183043478274</v>
      </c>
      <c r="BU93" s="64">
        <v>410.60138065843614</v>
      </c>
      <c r="BV93" s="64">
        <v>0</v>
      </c>
      <c r="BW93" s="64">
        <v>28.846</v>
      </c>
      <c r="BX93" s="64">
        <v>-139.001</v>
      </c>
      <c r="BY93" s="64">
        <v>17.765999999999998</v>
      </c>
      <c r="BZ93" s="64">
        <v>254.07900000000001</v>
      </c>
      <c r="CA93" s="64">
        <v>485.76499999999999</v>
      </c>
      <c r="CB93" s="64">
        <v>-155.328</v>
      </c>
      <c r="CC93" s="64">
        <v>14.962999999999999</v>
      </c>
      <c r="CD93" s="64">
        <v>-9.4009999999999998</v>
      </c>
      <c r="CE93" s="64">
        <v>78.534999999999997</v>
      </c>
      <c r="CF93" s="64">
        <v>605.39300000000003</v>
      </c>
      <c r="CG93" s="64">
        <v>279.71100000000001</v>
      </c>
      <c r="CH93" s="64">
        <v>0</v>
      </c>
      <c r="CI93" s="64">
        <v>-110.661</v>
      </c>
      <c r="CJ93" s="64">
        <v>-88.953999999999994</v>
      </c>
      <c r="CK93" s="64">
        <v>478.96097367799933</v>
      </c>
      <c r="CL93" s="64">
        <v>200.21002632200066</v>
      </c>
      <c r="CM93" s="64">
        <v>193.74199999999999</v>
      </c>
      <c r="CN93" s="64">
        <v>493</v>
      </c>
      <c r="CO93" s="64">
        <v>53.170999999999999</v>
      </c>
      <c r="CP93" s="64">
        <v>75.178217379000031</v>
      </c>
      <c r="CQ93" s="64">
        <v>155.60221964200028</v>
      </c>
      <c r="CR93" s="64">
        <v>231.78792159999907</v>
      </c>
      <c r="CS93" s="64">
        <v>93.560241366000852</v>
      </c>
      <c r="CT93" s="64">
        <v>0</v>
      </c>
      <c r="CU93" s="64">
        <v>-124.31713980699982</v>
      </c>
      <c r="CV93" s="64">
        <v>15.933254288000054</v>
      </c>
      <c r="CW93" s="64">
        <v>-227.24735113900061</v>
      </c>
      <c r="CX93" s="64">
        <v>319.52136926800011</v>
      </c>
      <c r="CY93" s="64">
        <v>181.15134216600097</v>
      </c>
      <c r="CZ93" s="64">
        <v>143.52739663699921</v>
      </c>
      <c r="DA93" s="64">
        <v>488.72730922800025</v>
      </c>
      <c r="DB93" s="64">
        <v>-85.013874520000073</v>
      </c>
      <c r="DC93" s="64">
        <v>375.49645775300075</v>
      </c>
      <c r="DD93" s="64">
        <v>88.846584359999753</v>
      </c>
      <c r="DE93" s="64">
        <v>297.99899050199986</v>
      </c>
      <c r="DF93" s="64">
        <v>0</v>
      </c>
      <c r="DG93" s="64">
        <v>-107.03982467699889</v>
      </c>
      <c r="DH93" s="64">
        <v>-468.65949566000046</v>
      </c>
      <c r="DI93" s="64">
        <v>257.19607089799922</v>
      </c>
      <c r="DJ93" s="64">
        <v>99.590634961000646</v>
      </c>
      <c r="DK93" s="64">
        <v>97.692901354999279</v>
      </c>
      <c r="DL93" s="64">
        <v>-227.61868613599987</v>
      </c>
      <c r="DM93" s="64">
        <v>397.02578706100024</v>
      </c>
      <c r="DN93" s="64">
        <v>-361.42755298299994</v>
      </c>
      <c r="DO93" s="64">
        <v>347.20832260400152</v>
      </c>
      <c r="DP93" s="64">
        <v>648.16526081100017</v>
      </c>
      <c r="DQ93" s="64">
        <v>297.25064565899874</v>
      </c>
      <c r="DR93" s="64">
        <v>0</v>
      </c>
      <c r="DS93" s="64">
        <v>514.45595948799928</v>
      </c>
      <c r="DT93" s="64">
        <v>-444.95465484299979</v>
      </c>
      <c r="DU93" s="64">
        <v>447.28730314100068</v>
      </c>
      <c r="DV93" s="64">
        <v>-312.56630196900016</v>
      </c>
      <c r="DW93" s="64">
        <v>173.84480538500009</v>
      </c>
      <c r="DX93" s="64">
        <v>-302.43482419200103</v>
      </c>
      <c r="DY93" s="64">
        <v>88.540447565001898</v>
      </c>
      <c r="DZ93" s="64">
        <v>175.19679067099838</v>
      </c>
      <c r="EA93" s="64">
        <v>292.496260935002</v>
      </c>
      <c r="EB93" s="64">
        <v>-236.71622259000037</v>
      </c>
      <c r="EC93" s="64">
        <v>352.2139320279984</v>
      </c>
      <c r="ED93" s="64">
        <v>0</v>
      </c>
      <c r="EE93" s="64">
        <v>502.23235543100071</v>
      </c>
      <c r="EF93" s="64">
        <v>211.82134920899944</v>
      </c>
      <c r="EG93" s="64">
        <v>-128.4538640429997</v>
      </c>
      <c r="EH93" s="64">
        <v>652.15916004399958</v>
      </c>
      <c r="EI93" s="64">
        <v>968.85408621800127</v>
      </c>
      <c r="EJ93" s="64">
        <v>-103.62453168000002</v>
      </c>
      <c r="EK93" s="64">
        <v>21.94059105699975</v>
      </c>
      <c r="EL93" s="64">
        <v>-598.73336467300078</v>
      </c>
      <c r="EM93" s="64">
        <v>509.90957014400141</v>
      </c>
      <c r="EN93" s="64">
        <v>171.58263334699907</v>
      </c>
      <c r="EO93" s="64">
        <v>33.517878685000355</v>
      </c>
      <c r="EP93" s="64">
        <v>165.62894737535703</v>
      </c>
      <c r="EQ93" s="64">
        <v>-347.2284796101174</v>
      </c>
      <c r="ER93" s="64">
        <v>-521.82117655044669</v>
      </c>
      <c r="ES93" s="64">
        <v>1421.8048117264489</v>
      </c>
      <c r="ET93" s="64">
        <v>634.92872336328719</v>
      </c>
      <c r="EU93" s="64">
        <v>97.99967023251169</v>
      </c>
      <c r="EV93" s="64">
        <v>-388.84315225953969</v>
      </c>
      <c r="EW93" s="64">
        <v>-473.01236879840724</v>
      </c>
      <c r="EX93" s="64">
        <v>-341.53615396472429</v>
      </c>
      <c r="EY93" s="64">
        <v>-201.45368327607991</v>
      </c>
      <c r="EZ93" s="64">
        <v>68.91048266469069</v>
      </c>
      <c r="FA93" s="64">
        <v>-1147.7149536344693</v>
      </c>
      <c r="FB93" s="64">
        <v>2.9170646049428615</v>
      </c>
      <c r="FC93" s="64">
        <v>-653.97823689021652</v>
      </c>
      <c r="FD93" s="64">
        <v>2775.591725228413</v>
      </c>
      <c r="FE93" s="64">
        <v>-26.253874166307511</v>
      </c>
      <c r="FF93" s="64">
        <v>-87.154963205602314</v>
      </c>
      <c r="FG93" s="64">
        <v>-901.03103975265674</v>
      </c>
      <c r="FH93" s="64">
        <v>-209.24199302856221</v>
      </c>
      <c r="FI93" s="64">
        <v>-194.79678190224749</v>
      </c>
      <c r="FJ93" s="64">
        <v>0</v>
      </c>
      <c r="FK93" s="64">
        <v>0</v>
      </c>
      <c r="FL93" s="64">
        <v>0</v>
      </c>
      <c r="FM93" s="64">
        <v>0</v>
      </c>
      <c r="FN93" s="64">
        <v>-434.8864850839168</v>
      </c>
      <c r="FO93" s="64">
        <v>-673.95807884479245</v>
      </c>
      <c r="FP93" s="64">
        <v>2461.8928312194562</v>
      </c>
      <c r="FQ93" s="64">
        <v>-450.64524237654763</v>
      </c>
      <c r="FR93" s="64">
        <v>751.68266595291846</v>
      </c>
      <c r="FS93" s="64">
        <v>162.03724567404547</v>
      </c>
      <c r="FT93" s="64">
        <v>-56.704952022217661</v>
      </c>
      <c r="FU93" s="64">
        <v>-89.946715979064166</v>
      </c>
      <c r="FV93" s="64">
        <v>176.7559211508146</v>
      </c>
      <c r="FW93" s="64">
        <v>-636.53215797844848</v>
      </c>
      <c r="FX93" s="64">
        <v>846.52242749161542</v>
      </c>
      <c r="FY93" s="64">
        <v>-1535.3439004340294</v>
      </c>
      <c r="FZ93" s="64">
        <v>-119.55456848703709</v>
      </c>
      <c r="GA93" s="64">
        <v>-562.74176094738129</v>
      </c>
      <c r="GB93" s="22">
        <v>2706.7305214083358</v>
      </c>
      <c r="GC93" s="22">
        <v>296.10513121460446</v>
      </c>
      <c r="GD93" s="22">
        <v>-397.14082293562205</v>
      </c>
      <c r="GE93" s="22">
        <v>77.969382866324025</v>
      </c>
      <c r="GF93" s="22">
        <v>246.51979159337537</v>
      </c>
      <c r="GG93" s="22">
        <v>-498.14014287773705</v>
      </c>
      <c r="GH93" s="22">
        <v>0</v>
      </c>
      <c r="GI93" s="22">
        <v>0</v>
      </c>
      <c r="GJ93" s="22">
        <v>0</v>
      </c>
      <c r="GK93" s="22">
        <v>0</v>
      </c>
      <c r="GL93" s="23">
        <v>253.01540406498248</v>
      </c>
      <c r="GM93" s="23">
        <v>2955.4842767598225</v>
      </c>
      <c r="GN93" s="23">
        <v>-349.94578088551458</v>
      </c>
      <c r="GO93" s="23">
        <v>-201.1075117723353</v>
      </c>
      <c r="GP93" s="23">
        <v>-215.22453470783233</v>
      </c>
      <c r="GQ93" s="23">
        <v>-868.69947608289806</v>
      </c>
      <c r="GR93" s="23">
        <v>-464.67288578795456</v>
      </c>
      <c r="GS93" s="23">
        <v>-683.3364485729204</v>
      </c>
      <c r="GT93" s="23">
        <v>-381.2054873300134</v>
      </c>
      <c r="GU93" s="23">
        <v>364.52055207322041</v>
      </c>
      <c r="GV93" s="23">
        <v>307.51058168899397</v>
      </c>
      <c r="GW93" s="23">
        <v>-2145.8771585417844</v>
      </c>
      <c r="GX93" s="23">
        <v>3266.1409289475941</v>
      </c>
      <c r="GY93" s="23">
        <v>342.5019818507559</v>
      </c>
      <c r="GZ93" s="23">
        <v>2748.0598944483913</v>
      </c>
      <c r="HA93" s="23">
        <v>5390.9115314327128</v>
      </c>
      <c r="HB93" s="23">
        <v>-2776.2330160242905</v>
      </c>
      <c r="HC93" s="23">
        <v>-565.62534609320312</v>
      </c>
      <c r="HD93" s="23">
        <v>-1616.3551832725097</v>
      </c>
      <c r="HE93" s="23">
        <v>0</v>
      </c>
      <c r="HF93" s="23"/>
      <c r="HG93" s="23"/>
      <c r="HH93" s="23"/>
      <c r="HI93" s="23"/>
    </row>
    <row r="94" spans="1:217">
      <c r="A94" s="29" t="s">
        <v>104</v>
      </c>
      <c r="B94" s="63">
        <v>-61.645000000000003</v>
      </c>
      <c r="C94" s="63">
        <v>-61.790999999999997</v>
      </c>
      <c r="D94" s="63">
        <v>51.423000000000002</v>
      </c>
      <c r="E94" s="63">
        <v>27.187999999999999</v>
      </c>
      <c r="F94" s="63">
        <v>93.984999999999999</v>
      </c>
      <c r="G94" s="63">
        <v>-19.850999999999999</v>
      </c>
      <c r="H94" s="63">
        <v>31.724</v>
      </c>
      <c r="I94" s="63">
        <v>-56.073</v>
      </c>
      <c r="J94" s="63">
        <v>-117.491</v>
      </c>
      <c r="K94" s="63">
        <v>-144.43700000000001</v>
      </c>
      <c r="L94" s="63">
        <v>-81.421999999999997</v>
      </c>
      <c r="M94" s="63">
        <v>-51.945999999999998</v>
      </c>
      <c r="N94" s="63">
        <v>68.87</v>
      </c>
      <c r="O94" s="63">
        <v>124.29</v>
      </c>
      <c r="P94" s="63">
        <v>-50.76</v>
      </c>
      <c r="Q94" s="63">
        <v>-62.738999999999997</v>
      </c>
      <c r="R94" s="63">
        <v>-250.316</v>
      </c>
      <c r="S94" s="63">
        <v>93.710999999999999</v>
      </c>
      <c r="T94" s="63">
        <v>-146.28</v>
      </c>
      <c r="U94" s="63">
        <v>-171.21600000000001</v>
      </c>
      <c r="V94" s="63">
        <v>-125.883</v>
      </c>
      <c r="W94" s="63">
        <v>-58.744999999999997</v>
      </c>
      <c r="X94" s="63">
        <v>25.263000000000002</v>
      </c>
      <c r="Y94" s="63">
        <v>440.721</v>
      </c>
      <c r="Z94" s="63">
        <v>-158.06692788461532</v>
      </c>
      <c r="AA94" s="63">
        <v>31.570379146919421</v>
      </c>
      <c r="AB94" s="63">
        <v>-59.173463464593304</v>
      </c>
      <c r="AC94" s="63">
        <v>-169.42356056155373</v>
      </c>
      <c r="AD94" s="63">
        <v>-55.525223021582718</v>
      </c>
      <c r="AE94" s="63">
        <v>24.038886746987956</v>
      </c>
      <c r="AF94" s="63">
        <v>-53.290980198019788</v>
      </c>
      <c r="AG94" s="63">
        <v>39.265718592964795</v>
      </c>
      <c r="AH94" s="63">
        <v>-109.16025986842105</v>
      </c>
      <c r="AI94" s="63">
        <v>-106.3974032786885</v>
      </c>
      <c r="AJ94" s="63">
        <v>157.46810440456773</v>
      </c>
      <c r="AK94" s="63">
        <v>313.25650488599342</v>
      </c>
      <c r="AL94" s="63">
        <v>-118.30467698191697</v>
      </c>
      <c r="AM94" s="63">
        <v>-9.080968614670466</v>
      </c>
      <c r="AN94" s="63">
        <v>9.4870763359682027</v>
      </c>
      <c r="AO94" s="63">
        <v>-131.26542756872175</v>
      </c>
      <c r="AP94" s="63">
        <v>-283.72400016882585</v>
      </c>
      <c r="AQ94" s="63">
        <v>38.611889848739146</v>
      </c>
      <c r="AR94" s="63">
        <v>103.30288895023602</v>
      </c>
      <c r="AS94" s="63">
        <v>29.578774175619785</v>
      </c>
      <c r="AT94" s="63">
        <v>-216.85265348743334</v>
      </c>
      <c r="AU94" s="63">
        <v>-3.1155796044301951</v>
      </c>
      <c r="AV94" s="63">
        <v>-244.13206872760225</v>
      </c>
      <c r="AW94" s="63">
        <v>440.61106843496299</v>
      </c>
      <c r="AX94" s="63">
        <v>68.810293810444833</v>
      </c>
      <c r="AY94" s="63">
        <v>153.15843742231573</v>
      </c>
      <c r="AZ94" s="63">
        <v>-264.57608687258687</v>
      </c>
      <c r="BA94" s="63">
        <v>-157.55870297029702</v>
      </c>
      <c r="BB94" s="63">
        <v>-356.71601571709226</v>
      </c>
      <c r="BC94" s="63">
        <v>-29.147432539682509</v>
      </c>
      <c r="BD94" s="63">
        <v>-68.898957198443583</v>
      </c>
      <c r="BE94" s="63">
        <v>-26.87118431372549</v>
      </c>
      <c r="BF94" s="63">
        <v>-4.1766365422397103</v>
      </c>
      <c r="BG94" s="63">
        <v>-126.02477534791247</v>
      </c>
      <c r="BH94" s="63">
        <v>-412.49087136929472</v>
      </c>
      <c r="BI94" s="63">
        <v>423.71292796610169</v>
      </c>
      <c r="BJ94" s="63">
        <v>-46.747004123711278</v>
      </c>
      <c r="BK94" s="63">
        <v>25.791601279317678</v>
      </c>
      <c r="BL94" s="63">
        <v>-37.537978260869615</v>
      </c>
      <c r="BM94" s="63">
        <v>-133.74373515981728</v>
      </c>
      <c r="BN94" s="63">
        <v>-336.16269024390243</v>
      </c>
      <c r="BO94" s="63">
        <v>-99.811245700245721</v>
      </c>
      <c r="BP94" s="63">
        <v>-164.82803544303803</v>
      </c>
      <c r="BQ94" s="63">
        <v>-203.91469172932318</v>
      </c>
      <c r="BR94" s="63">
        <v>-265.52843969849255</v>
      </c>
      <c r="BS94" s="63">
        <v>-92.261651629072617</v>
      </c>
      <c r="BT94" s="63">
        <v>-409.24183043478274</v>
      </c>
      <c r="BU94" s="63">
        <v>410.60138065843614</v>
      </c>
      <c r="BV94" s="63">
        <v>0</v>
      </c>
      <c r="BW94" s="63">
        <v>28.846</v>
      </c>
      <c r="BX94" s="63">
        <v>-139.001</v>
      </c>
      <c r="BY94" s="63">
        <v>17.765999999999998</v>
      </c>
      <c r="BZ94" s="63">
        <v>254.07900000000001</v>
      </c>
      <c r="CA94" s="63">
        <v>485.76499999999999</v>
      </c>
      <c r="CB94" s="63">
        <v>-155.328</v>
      </c>
      <c r="CC94" s="63">
        <v>14.962999999999999</v>
      </c>
      <c r="CD94" s="63">
        <v>-9.4009999999999998</v>
      </c>
      <c r="CE94" s="63">
        <v>78.534999999999997</v>
      </c>
      <c r="CF94" s="63">
        <v>605.39300000000003</v>
      </c>
      <c r="CG94" s="63">
        <v>279.71100000000001</v>
      </c>
      <c r="CH94" s="63">
        <v>0</v>
      </c>
      <c r="CI94" s="63">
        <v>-110.661</v>
      </c>
      <c r="CJ94" s="63">
        <v>-88.953999999999994</v>
      </c>
      <c r="CK94" s="63">
        <v>478.96097367799933</v>
      </c>
      <c r="CL94" s="63">
        <v>200.21002632200066</v>
      </c>
      <c r="CM94" s="63">
        <v>193.74199999999999</v>
      </c>
      <c r="CN94" s="63">
        <v>493</v>
      </c>
      <c r="CO94" s="63">
        <v>53.170999999999999</v>
      </c>
      <c r="CP94" s="63">
        <v>75.178217379000031</v>
      </c>
      <c r="CQ94" s="63">
        <v>155.60221964200028</v>
      </c>
      <c r="CR94" s="63">
        <v>231.78792159999907</v>
      </c>
      <c r="CS94" s="63">
        <v>93.560241366000852</v>
      </c>
      <c r="CT94" s="63">
        <v>0</v>
      </c>
      <c r="CU94" s="63">
        <v>-124.31713980699982</v>
      </c>
      <c r="CV94" s="63">
        <v>15.933254288000054</v>
      </c>
      <c r="CW94" s="63">
        <v>-227.24735113900061</v>
      </c>
      <c r="CX94" s="63">
        <v>319.52136926800011</v>
      </c>
      <c r="CY94" s="63">
        <v>181.15134216600097</v>
      </c>
      <c r="CZ94" s="63">
        <v>143.52739663699921</v>
      </c>
      <c r="DA94" s="63">
        <v>488.72730922800025</v>
      </c>
      <c r="DB94" s="63">
        <v>-85.013874520000073</v>
      </c>
      <c r="DC94" s="63">
        <v>375.49645775300075</v>
      </c>
      <c r="DD94" s="63">
        <v>88.846584359999753</v>
      </c>
      <c r="DE94" s="63">
        <v>297.99899050199986</v>
      </c>
      <c r="DF94" s="63">
        <v>0</v>
      </c>
      <c r="DG94" s="63">
        <v>-107.03982467699889</v>
      </c>
      <c r="DH94" s="63">
        <v>-468.65949566000046</v>
      </c>
      <c r="DI94" s="63">
        <v>257.19607089799922</v>
      </c>
      <c r="DJ94" s="63">
        <v>99.590634961000646</v>
      </c>
      <c r="DK94" s="63">
        <v>97.692901354999279</v>
      </c>
      <c r="DL94" s="63">
        <v>-227.61868613599987</v>
      </c>
      <c r="DM94" s="63">
        <v>397.02578706100024</v>
      </c>
      <c r="DN94" s="63">
        <v>-361.42755298299994</v>
      </c>
      <c r="DO94" s="63">
        <v>347.20832260400152</v>
      </c>
      <c r="DP94" s="63">
        <v>648.16526081100017</v>
      </c>
      <c r="DQ94" s="63">
        <v>297.25064565899874</v>
      </c>
      <c r="DR94" s="63">
        <v>0</v>
      </c>
      <c r="DS94" s="63">
        <v>514.45595948799928</v>
      </c>
      <c r="DT94" s="63">
        <v>-444.95465484299979</v>
      </c>
      <c r="DU94" s="63">
        <v>447.28730314100068</v>
      </c>
      <c r="DV94" s="63">
        <v>-312.56630196900016</v>
      </c>
      <c r="DW94" s="63">
        <v>173.84480538500009</v>
      </c>
      <c r="DX94" s="63">
        <v>-302.43482419200103</v>
      </c>
      <c r="DY94" s="63">
        <v>88.540447565001898</v>
      </c>
      <c r="DZ94" s="63">
        <v>175.19679067099838</v>
      </c>
      <c r="EA94" s="63">
        <v>292.496260935002</v>
      </c>
      <c r="EB94" s="63">
        <v>-236.71622259000037</v>
      </c>
      <c r="EC94" s="63">
        <v>352.2139320279984</v>
      </c>
      <c r="ED94" s="63">
        <v>0</v>
      </c>
      <c r="EE94" s="63">
        <v>502.23235543100071</v>
      </c>
      <c r="EF94" s="63">
        <v>211.82134920899944</v>
      </c>
      <c r="EG94" s="63">
        <v>-128.4538640429997</v>
      </c>
      <c r="EH94" s="63">
        <v>652.15916004399958</v>
      </c>
      <c r="EI94" s="63">
        <v>968.85408621800127</v>
      </c>
      <c r="EJ94" s="63">
        <v>-103.62453168000002</v>
      </c>
      <c r="EK94" s="63">
        <v>21.94059105699975</v>
      </c>
      <c r="EL94" s="63">
        <v>-598.73336467300078</v>
      </c>
      <c r="EM94" s="63">
        <v>509.90957014400141</v>
      </c>
      <c r="EN94" s="63">
        <v>171.58263334699907</v>
      </c>
      <c r="EO94" s="63">
        <v>33.517878685000355</v>
      </c>
      <c r="EP94" s="63">
        <v>165.62894737535703</v>
      </c>
      <c r="EQ94" s="63">
        <v>-347.2284796101174</v>
      </c>
      <c r="ER94" s="63">
        <v>-521.82117655044669</v>
      </c>
      <c r="ES94" s="63">
        <v>1421.8048117264489</v>
      </c>
      <c r="ET94" s="63">
        <v>634.92872336328719</v>
      </c>
      <c r="EU94" s="63">
        <v>97.99967023251169</v>
      </c>
      <c r="EV94" s="63">
        <v>-388.84315225953969</v>
      </c>
      <c r="EW94" s="63">
        <v>-473.01236879840724</v>
      </c>
      <c r="EX94" s="63">
        <v>-341.53615396472429</v>
      </c>
      <c r="EY94" s="63">
        <v>-201.45368327607991</v>
      </c>
      <c r="EZ94" s="63">
        <v>68.91048266469069</v>
      </c>
      <c r="FA94" s="63">
        <v>-1147.7149536344693</v>
      </c>
      <c r="FB94" s="63">
        <v>2.9170646049428615</v>
      </c>
      <c r="FC94" s="63">
        <v>-653.97823689021652</v>
      </c>
      <c r="FD94" s="63">
        <v>2775.591725228413</v>
      </c>
      <c r="FE94" s="63">
        <v>-26.253874166307511</v>
      </c>
      <c r="FF94" s="63">
        <v>-87.154963205602314</v>
      </c>
      <c r="FG94" s="63">
        <v>-901.03103975265674</v>
      </c>
      <c r="FH94" s="63">
        <v>-209.24199302856221</v>
      </c>
      <c r="FI94" s="63">
        <v>-194.79678190224749</v>
      </c>
      <c r="FJ94" s="63">
        <v>0</v>
      </c>
      <c r="FK94" s="63">
        <v>0</v>
      </c>
      <c r="FL94" s="63">
        <v>0</v>
      </c>
      <c r="FM94" s="63">
        <v>0</v>
      </c>
      <c r="FN94" s="63">
        <v>-434.8864850839168</v>
      </c>
      <c r="FO94" s="63">
        <v>-673.95807884479245</v>
      </c>
      <c r="FP94" s="63">
        <v>2461.8928312194562</v>
      </c>
      <c r="FQ94" s="63">
        <v>-450.64524237654763</v>
      </c>
      <c r="FR94" s="63">
        <v>751.68266595291846</v>
      </c>
      <c r="FS94" s="63">
        <v>162.03724567404547</v>
      </c>
      <c r="FT94" s="63">
        <v>-56.704952022217661</v>
      </c>
      <c r="FU94" s="63">
        <v>-89.946715979064166</v>
      </c>
      <c r="FV94" s="63">
        <v>176.7559211508146</v>
      </c>
      <c r="FW94" s="63">
        <v>-636.53215797844848</v>
      </c>
      <c r="FX94" s="63">
        <v>846.52242749161542</v>
      </c>
      <c r="FY94" s="63">
        <v>-1535.3439004340294</v>
      </c>
      <c r="FZ94" s="63">
        <v>-119.55456848703709</v>
      </c>
      <c r="GA94" s="63">
        <v>-562.74176094738129</v>
      </c>
      <c r="GB94" s="22">
        <v>2706.7305214083358</v>
      </c>
      <c r="GC94" s="22">
        <v>296.10513121460446</v>
      </c>
      <c r="GD94" s="22">
        <v>-397.14082293562205</v>
      </c>
      <c r="GE94" s="22">
        <v>77.969382866324025</v>
      </c>
      <c r="GF94" s="22">
        <v>246.51979159337537</v>
      </c>
      <c r="GG94" s="22">
        <v>-498.14014287773705</v>
      </c>
      <c r="GH94" s="22">
        <v>0</v>
      </c>
      <c r="GI94" s="22">
        <v>0</v>
      </c>
      <c r="GJ94" s="22">
        <v>0</v>
      </c>
      <c r="GK94" s="22">
        <v>0</v>
      </c>
      <c r="GL94" s="23">
        <v>253.01540406498248</v>
      </c>
      <c r="GM94" s="23">
        <v>2955.4842767598225</v>
      </c>
      <c r="GN94" s="23">
        <v>-349.94578088551458</v>
      </c>
      <c r="GO94" s="23">
        <v>-201.1075117723353</v>
      </c>
      <c r="GP94" s="23">
        <v>-215.22453470783233</v>
      </c>
      <c r="GQ94" s="23">
        <v>-868.69947608289806</v>
      </c>
      <c r="GR94" s="23">
        <v>-464.67288578795456</v>
      </c>
      <c r="GS94" s="23">
        <v>-683.3364485729204</v>
      </c>
      <c r="GT94" s="23">
        <v>-381.2054873300134</v>
      </c>
      <c r="GU94" s="23">
        <v>364.52055207322041</v>
      </c>
      <c r="GV94" s="23">
        <v>307.51058168899397</v>
      </c>
      <c r="GW94" s="23">
        <v>-2145.8771585417844</v>
      </c>
      <c r="GX94" s="23">
        <v>3266.1409289475941</v>
      </c>
      <c r="GY94" s="23">
        <v>342.5019818507559</v>
      </c>
      <c r="GZ94" s="23">
        <v>2748.0598944483913</v>
      </c>
      <c r="HA94" s="23">
        <v>5390.9115314327128</v>
      </c>
      <c r="HB94" s="23">
        <v>-2776.2330160242905</v>
      </c>
      <c r="HC94" s="23">
        <v>-565.62534609320312</v>
      </c>
      <c r="HD94" s="23">
        <v>-1616.3551832725097</v>
      </c>
      <c r="HE94" s="23">
        <v>0</v>
      </c>
      <c r="HF94" s="23"/>
      <c r="HG94" s="23"/>
      <c r="HH94" s="23"/>
      <c r="HI94" s="23"/>
    </row>
    <row r="95" spans="1:217" ht="7.5" customHeight="1"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</row>
    <row r="96" spans="1:217">
      <c r="A96" s="26" t="s">
        <v>105</v>
      </c>
      <c r="B96" s="64">
        <v>-41.705821843999949</v>
      </c>
      <c r="C96" s="64">
        <v>-71.803327399000011</v>
      </c>
      <c r="D96" s="64">
        <v>13.085924852000112</v>
      </c>
      <c r="E96" s="64">
        <v>88.213112856999985</v>
      </c>
      <c r="F96" s="64">
        <v>25.740181338000035</v>
      </c>
      <c r="G96" s="64">
        <v>6.018335777000118</v>
      </c>
      <c r="H96" s="64">
        <v>-26.190218974999983</v>
      </c>
      <c r="I96" s="64">
        <v>-127.77578301799988</v>
      </c>
      <c r="J96" s="64">
        <v>-64.810778960999897</v>
      </c>
      <c r="K96" s="64">
        <v>41.165649034999959</v>
      </c>
      <c r="L96" s="64">
        <v>62.336896410000122</v>
      </c>
      <c r="M96" s="64">
        <v>-60.98504526000022</v>
      </c>
      <c r="N96" s="64">
        <v>48.034740482000018</v>
      </c>
      <c r="O96" s="64">
        <v>60.757980156000059</v>
      </c>
      <c r="P96" s="64">
        <v>-150.51262606799995</v>
      </c>
      <c r="Q96" s="64">
        <v>121.09041261000009</v>
      </c>
      <c r="R96" s="64">
        <v>34.659503403000159</v>
      </c>
      <c r="S96" s="64">
        <v>-48.093405416999929</v>
      </c>
      <c r="T96" s="64">
        <v>66.981431138999895</v>
      </c>
      <c r="U96" s="64">
        <v>-60.293273959000039</v>
      </c>
      <c r="V96" s="64">
        <v>42.168240702000176</v>
      </c>
      <c r="W96" s="64">
        <v>-34.442630525000169</v>
      </c>
      <c r="X96" s="64">
        <v>-63.774529896000097</v>
      </c>
      <c r="Y96" s="64">
        <v>-85.581948087000001</v>
      </c>
      <c r="Z96" s="64">
        <v>95.723452225384648</v>
      </c>
      <c r="AA96" s="64">
        <v>-38.158072283445676</v>
      </c>
      <c r="AB96" s="64">
        <v>114.11979732240661</v>
      </c>
      <c r="AC96" s="64">
        <v>-147.87325079885389</v>
      </c>
      <c r="AD96" s="64">
        <v>24.150005524417203</v>
      </c>
      <c r="AE96" s="64">
        <v>22.62050529998784</v>
      </c>
      <c r="AF96" s="64">
        <v>-63.668121880019783</v>
      </c>
      <c r="AG96" s="64">
        <v>-39.699277990035071</v>
      </c>
      <c r="AH96" s="64">
        <v>-21.416063732421168</v>
      </c>
      <c r="AI96" s="64">
        <v>-44.011766666688686</v>
      </c>
      <c r="AJ96" s="64">
        <v>94.236627502567643</v>
      </c>
      <c r="AK96" s="64">
        <v>-59.599926299006256</v>
      </c>
      <c r="AL96" s="64">
        <v>-56.623153578317215</v>
      </c>
      <c r="AM96" s="64">
        <v>214.8041348953297</v>
      </c>
      <c r="AN96" s="64">
        <v>-12.284648903031631</v>
      </c>
      <c r="AO96" s="64">
        <v>-39.484441993721674</v>
      </c>
      <c r="AP96" s="64">
        <v>-8.8317668338258528</v>
      </c>
      <c r="AQ96" s="64">
        <v>101.77321283373939</v>
      </c>
      <c r="AR96" s="64">
        <v>-32.033356849763948</v>
      </c>
      <c r="AS96" s="64">
        <v>48.270116277619771</v>
      </c>
      <c r="AT96" s="64">
        <v>30.009212527566682</v>
      </c>
      <c r="AU96" s="64">
        <v>-4.3962022724302514</v>
      </c>
      <c r="AV96" s="64">
        <v>50.649595029397744</v>
      </c>
      <c r="AW96" s="64">
        <v>-181.76358598703735</v>
      </c>
      <c r="AX96" s="64">
        <v>156.44067230044482</v>
      </c>
      <c r="AY96" s="64">
        <v>-165.61898512268442</v>
      </c>
      <c r="AZ96" s="64">
        <v>37.609293922413251</v>
      </c>
      <c r="BA96" s="64">
        <v>-17.38654488629701</v>
      </c>
      <c r="BB96" s="64">
        <v>-21.880208111092145</v>
      </c>
      <c r="BC96" s="64">
        <v>32.780339095317444</v>
      </c>
      <c r="BD96" s="64">
        <v>-5.1446015334434776</v>
      </c>
      <c r="BE96" s="64">
        <v>15.95504109627457</v>
      </c>
      <c r="BF96" s="64">
        <v>-10.994119671239801</v>
      </c>
      <c r="BG96" s="64">
        <v>67.174214144087571</v>
      </c>
      <c r="BH96" s="64">
        <v>-187.20238443229474</v>
      </c>
      <c r="BI96" s="64">
        <v>147.64276190510202</v>
      </c>
      <c r="BJ96" s="64">
        <v>-136.07107118671132</v>
      </c>
      <c r="BK96" s="64">
        <v>139.24967438331774</v>
      </c>
      <c r="BL96" s="64">
        <v>11.042633698130203</v>
      </c>
      <c r="BM96" s="64">
        <v>-80.386778562817398</v>
      </c>
      <c r="BN96" s="64">
        <v>78.136523266097868</v>
      </c>
      <c r="BO96" s="64">
        <v>15.375205451754127</v>
      </c>
      <c r="BP96" s="64">
        <v>-64.605844355038073</v>
      </c>
      <c r="BQ96" s="64">
        <v>-70.240218876323183</v>
      </c>
      <c r="BR96" s="64">
        <v>32.733342585507543</v>
      </c>
      <c r="BS96" s="64">
        <v>-42.253067038072658</v>
      </c>
      <c r="BT96" s="64">
        <v>-53.961152923782663</v>
      </c>
      <c r="BU96" s="64">
        <v>-174.57343573556352</v>
      </c>
      <c r="BV96" s="64">
        <v>-163.58299917300002</v>
      </c>
      <c r="BW96" s="64">
        <v>257.77682169000002</v>
      </c>
      <c r="BX96" s="64">
        <v>-409.04623525999995</v>
      </c>
      <c r="BY96" s="64">
        <v>458.10664962900029</v>
      </c>
      <c r="BZ96" s="64">
        <v>741.8947214389998</v>
      </c>
      <c r="CA96" s="64">
        <v>218.12363680000027</v>
      </c>
      <c r="CB96" s="64">
        <v>127.45259163600009</v>
      </c>
      <c r="CC96" s="64">
        <v>-24.479358012000205</v>
      </c>
      <c r="CD96" s="64">
        <v>155.21189829199986</v>
      </c>
      <c r="CE96" s="64">
        <v>257.21798708799986</v>
      </c>
      <c r="CF96" s="64">
        <v>871.22095521499989</v>
      </c>
      <c r="CG96" s="64">
        <v>-1455.907447561</v>
      </c>
      <c r="CH96" s="64">
        <v>70.027220171999943</v>
      </c>
      <c r="CI96" s="64">
        <v>197.15877450699995</v>
      </c>
      <c r="CJ96" s="64">
        <v>398.6903144690001</v>
      </c>
      <c r="CK96" s="64">
        <v>-481.45183031099936</v>
      </c>
      <c r="CL96" s="64">
        <v>336.7080946519996</v>
      </c>
      <c r="CM96" s="64">
        <v>-213.19419610399979</v>
      </c>
      <c r="CN96" s="64">
        <v>-233.68047797400033</v>
      </c>
      <c r="CO96" s="64">
        <v>-106.82712275999998</v>
      </c>
      <c r="CP96" s="64">
        <v>-39.149224282000375</v>
      </c>
      <c r="CQ96" s="64">
        <v>47.59420993800012</v>
      </c>
      <c r="CR96" s="64">
        <v>-530.57428248399924</v>
      </c>
      <c r="CS96" s="64">
        <v>-791.37699263600121</v>
      </c>
      <c r="CT96" s="64">
        <v>19.658371127000009</v>
      </c>
      <c r="CU96" s="64">
        <v>147.8359856280002</v>
      </c>
      <c r="CV96" s="64">
        <v>-226.93607319800037</v>
      </c>
      <c r="CW96" s="64">
        <v>-102.39124223800098</v>
      </c>
      <c r="CX96" s="64">
        <v>418.64707965499952</v>
      </c>
      <c r="CY96" s="64">
        <v>399.04661064100111</v>
      </c>
      <c r="CZ96" s="64">
        <v>483.05084246599961</v>
      </c>
      <c r="DA96" s="64">
        <v>258.88521296300001</v>
      </c>
      <c r="DB96" s="64">
        <v>201.12631789899967</v>
      </c>
      <c r="DC96" s="64">
        <v>502.95419362100091</v>
      </c>
      <c r="DD96" s="64">
        <v>204.20131390299912</v>
      </c>
      <c r="DE96" s="64">
        <v>-2058.5310142649996</v>
      </c>
      <c r="DF96" s="64">
        <v>127.99256872899986</v>
      </c>
      <c r="DG96" s="64">
        <v>-266.47151723399855</v>
      </c>
      <c r="DH96" s="64">
        <v>-425.52656437200062</v>
      </c>
      <c r="DI96" s="64">
        <v>16.628010265999052</v>
      </c>
      <c r="DJ96" s="64">
        <v>366.71908905600094</v>
      </c>
      <c r="DK96" s="64">
        <v>-50.30490211000091</v>
      </c>
      <c r="DL96" s="64">
        <v>-6.0159134180000535</v>
      </c>
      <c r="DM96" s="64">
        <v>298.68276743300083</v>
      </c>
      <c r="DN96" s="64">
        <v>62.37716213200008</v>
      </c>
      <c r="DO96" s="64">
        <v>211.73421883500106</v>
      </c>
      <c r="DP96" s="64">
        <v>-400.22468026999979</v>
      </c>
      <c r="DQ96" s="64">
        <v>-1792.5486840780022</v>
      </c>
      <c r="DR96" s="64">
        <v>1010.9257094389998</v>
      </c>
      <c r="DS96" s="64">
        <v>56.957625651999621</v>
      </c>
      <c r="DT96" s="64">
        <v>-580.34865736199947</v>
      </c>
      <c r="DU96" s="64">
        <v>753.78044826200062</v>
      </c>
      <c r="DV96" s="64">
        <v>-139.71655882799976</v>
      </c>
      <c r="DW96" s="64">
        <v>-136.72440368900021</v>
      </c>
      <c r="DX96" s="64">
        <v>-286.87114252900142</v>
      </c>
      <c r="DY96" s="64">
        <v>-110.64046827699792</v>
      </c>
      <c r="DZ96" s="64">
        <v>503.21159003699853</v>
      </c>
      <c r="EA96" s="64">
        <v>118.83889334700191</v>
      </c>
      <c r="EB96" s="64">
        <v>-31.237883556000043</v>
      </c>
      <c r="EC96" s="64">
        <v>-1618.8945106410004</v>
      </c>
      <c r="ED96" s="64">
        <v>-427.75599175499985</v>
      </c>
      <c r="EE96" s="64">
        <v>-69.435683381999411</v>
      </c>
      <c r="EF96" s="64">
        <v>-13.17845517000066</v>
      </c>
      <c r="EG96" s="64">
        <v>141.69403413300054</v>
      </c>
      <c r="EH96" s="64">
        <v>1185.9858535559993</v>
      </c>
      <c r="EI96" s="64">
        <v>576.60936877700101</v>
      </c>
      <c r="EJ96" s="64">
        <v>-499.08848643100009</v>
      </c>
      <c r="EK96" s="64">
        <v>3781.9124093599999</v>
      </c>
      <c r="EL96" s="64">
        <v>-933.71398655700114</v>
      </c>
      <c r="EM96" s="64">
        <v>215.65316996300129</v>
      </c>
      <c r="EN96" s="64">
        <v>-957.05022477700118</v>
      </c>
      <c r="EO96" s="64">
        <v>-1366.4567244319999</v>
      </c>
      <c r="EP96" s="64">
        <v>-705.70504372535709</v>
      </c>
      <c r="EQ96" s="64">
        <v>82.620203871117326</v>
      </c>
      <c r="ER96" s="64">
        <v>41.575363550446525</v>
      </c>
      <c r="ES96" s="64">
        <v>299.54535529255168</v>
      </c>
      <c r="ET96" s="64">
        <v>-92.799307740286878</v>
      </c>
      <c r="EU96" s="64">
        <v>-93.33409247451155</v>
      </c>
      <c r="EV96" s="64">
        <v>-120.5842512374611</v>
      </c>
      <c r="EW96" s="64">
        <v>-196.902155232593</v>
      </c>
      <c r="EX96" s="64">
        <v>-263.34660307127558</v>
      </c>
      <c r="EY96" s="64">
        <v>66.413148632079995</v>
      </c>
      <c r="EZ96" s="64">
        <v>7.6790942313092501</v>
      </c>
      <c r="FA96" s="64">
        <v>-118.83022723953138</v>
      </c>
      <c r="FB96" s="64">
        <v>-566.73201739594253</v>
      </c>
      <c r="FC96" s="64">
        <v>-4.6507754727833799</v>
      </c>
      <c r="FD96" s="64">
        <v>204.65397589858685</v>
      </c>
      <c r="FE96" s="64">
        <v>327.89287059230742</v>
      </c>
      <c r="FF96" s="64">
        <v>-634.15109731939754</v>
      </c>
      <c r="FG96" s="64">
        <v>535.3000682146569</v>
      </c>
      <c r="FH96" s="64">
        <v>-255.66531009343791</v>
      </c>
      <c r="FI96" s="64">
        <v>390.00604564524775</v>
      </c>
      <c r="FJ96" s="64">
        <v>60.816242483999964</v>
      </c>
      <c r="FK96" s="64">
        <v>-570.43226632599999</v>
      </c>
      <c r="FL96" s="64">
        <v>409.84929284299966</v>
      </c>
      <c r="FM96" s="64">
        <v>-399.57576030699954</v>
      </c>
      <c r="FN96" s="64">
        <v>-369.79985981608422</v>
      </c>
      <c r="FO96" s="64">
        <v>223.81764473379229</v>
      </c>
      <c r="FP96" s="64">
        <v>139.77775183554377</v>
      </c>
      <c r="FQ96" s="64">
        <v>524.20117149354758</v>
      </c>
      <c r="FR96" s="64">
        <v>-278.19427888591838</v>
      </c>
      <c r="FS96" s="64">
        <v>68.331163824954785</v>
      </c>
      <c r="FT96" s="64">
        <v>-72.517084188782547</v>
      </c>
      <c r="FU96" s="64">
        <v>-19.147271311936038</v>
      </c>
      <c r="FV96" s="64">
        <v>-60.499227655813996</v>
      </c>
      <c r="FW96" s="64">
        <v>19.376172709449037</v>
      </c>
      <c r="FX96" s="64">
        <v>22.634492967384972</v>
      </c>
      <c r="FY96" s="64">
        <v>238.5104497670284</v>
      </c>
      <c r="FZ96" s="64">
        <v>812.88551518403699</v>
      </c>
      <c r="GA96" s="64">
        <v>-248.90663942661874</v>
      </c>
      <c r="GB96" s="22">
        <v>-54.793061830335773</v>
      </c>
      <c r="GC96" s="22">
        <v>149.21530164039575</v>
      </c>
      <c r="GD96" s="22">
        <v>178.081426995622</v>
      </c>
      <c r="GE96" s="22">
        <v>122.50971253167575</v>
      </c>
      <c r="GF96" s="22">
        <v>-208.90860607537547</v>
      </c>
      <c r="GG96" s="22">
        <v>107.77868937973693</v>
      </c>
      <c r="GH96" s="22">
        <v>173.80683228900065</v>
      </c>
      <c r="GI96" s="22">
        <v>-281.88809980999974</v>
      </c>
      <c r="GJ96" s="22">
        <v>788.99477232599986</v>
      </c>
      <c r="GK96" s="22">
        <v>-1929.6013251489996</v>
      </c>
      <c r="GL96" s="23">
        <v>639.38464288101727</v>
      </c>
      <c r="GM96" s="23">
        <v>-381.23376290782289</v>
      </c>
      <c r="GN96" s="23">
        <v>58.448544386515096</v>
      </c>
      <c r="GO96" s="23">
        <v>65.544937916335272</v>
      </c>
      <c r="GP96" s="23">
        <v>-28.64535024216724</v>
      </c>
      <c r="GQ96" s="23">
        <v>90.94391382689804</v>
      </c>
      <c r="GR96" s="23">
        <v>107.14537386895529</v>
      </c>
      <c r="GS96" s="23">
        <v>-215.57405337708082</v>
      </c>
      <c r="GT96" s="23">
        <v>-160.94429217398695</v>
      </c>
      <c r="GU96" s="23">
        <v>-138.75426911321983</v>
      </c>
      <c r="GV96" s="23">
        <v>197.19942730300556</v>
      </c>
      <c r="GW96" s="23">
        <v>-71.766708619216047</v>
      </c>
      <c r="GX96" s="23">
        <v>960.5947279644065</v>
      </c>
      <c r="GY96" s="23">
        <v>175.22010403724482</v>
      </c>
      <c r="GZ96" s="23">
        <v>-487.4755044343915</v>
      </c>
      <c r="HA96" s="23">
        <v>-4862.6355861897136</v>
      </c>
      <c r="HB96" s="23">
        <v>1101.0024816602906</v>
      </c>
      <c r="HC96" s="23">
        <v>-268.90959841779613</v>
      </c>
      <c r="HD96" s="23">
        <v>1294.5984424985102</v>
      </c>
      <c r="HE96" s="23">
        <v>-885.33888899199962</v>
      </c>
      <c r="HF96" s="23"/>
      <c r="HG96" s="23"/>
      <c r="HH96" s="23"/>
      <c r="HI96" s="23"/>
    </row>
    <row r="97" spans="2:183"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FB97" s="66"/>
      <c r="FC97" s="66"/>
      <c r="FD97" s="66"/>
      <c r="FE97" s="66"/>
      <c r="FF97" s="66"/>
      <c r="FG97" s="66"/>
      <c r="FH97" s="66"/>
      <c r="FI97" s="66"/>
      <c r="FJ97" s="66"/>
      <c r="FK97" s="66"/>
      <c r="FL97" s="66"/>
      <c r="FM97" s="66"/>
      <c r="FN97" s="66"/>
      <c r="FO97" s="66"/>
      <c r="FP97" s="66"/>
      <c r="FQ97" s="66"/>
      <c r="FR97" s="66"/>
      <c r="FS97" s="66"/>
      <c r="FT97" s="66"/>
      <c r="FU97" s="66"/>
      <c r="FV97" s="66"/>
      <c r="FW97" s="66"/>
      <c r="FX97" s="66"/>
      <c r="FY97" s="66"/>
      <c r="FZ97" s="66"/>
      <c r="GA97" s="66"/>
    </row>
    <row r="98" spans="2:183">
      <c r="B98" s="6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FB98" s="63">
        <v>-102.98202702900016</v>
      </c>
      <c r="FC98" s="63">
        <v>128.1830221849998</v>
      </c>
      <c r="FD98" s="63">
        <v>423.71009426700039</v>
      </c>
      <c r="FE98" s="63">
        <v>-100.14005148799993</v>
      </c>
      <c r="FF98" s="63">
        <v>55.996701161999795</v>
      </c>
      <c r="FG98" s="63">
        <v>288.4906434369999</v>
      </c>
      <c r="FH98" s="63">
        <v>394.23271163900012</v>
      </c>
      <c r="FI98" s="63">
        <v>-169.58163056900028</v>
      </c>
      <c r="FJ98" s="63">
        <v>-107.13316715599996</v>
      </c>
      <c r="FK98" s="63">
        <v>546.88989490500001</v>
      </c>
      <c r="FL98" s="63">
        <v>-348.65640438700007</v>
      </c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</row>
    <row r="99" spans="2:183"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</row>
    <row r="100" spans="2:183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FB100" s="2"/>
      <c r="FC100" s="2"/>
      <c r="FD100" s="67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</row>
    <row r="101" spans="2:183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FB101" s="68"/>
      <c r="FC101" s="68"/>
      <c r="FD101" s="68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</row>
    <row r="102" spans="2:183"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FB102" s="66"/>
      <c r="FC102" s="66"/>
      <c r="FD102" s="66"/>
      <c r="FE102" s="66"/>
      <c r="FF102" s="66"/>
      <c r="FG102" s="66"/>
      <c r="FH102" s="66"/>
      <c r="FI102" s="66"/>
      <c r="FJ102" s="66"/>
      <c r="FK102" s="66"/>
      <c r="FL102" s="66"/>
      <c r="FM102" s="66"/>
      <c r="FN102" s="66"/>
      <c r="FO102" s="66"/>
    </row>
    <row r="103" spans="2:183"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FB103" s="63"/>
      <c r="FC103" s="63"/>
      <c r="FD103" s="63"/>
      <c r="FE103" s="63"/>
      <c r="FF103" s="63"/>
      <c r="FG103" s="63"/>
      <c r="FH103" s="63"/>
      <c r="FI103" s="63"/>
      <c r="FJ103" s="63"/>
      <c r="FK103" s="63"/>
      <c r="FL103" s="63"/>
      <c r="FM103" s="63"/>
      <c r="FN103" s="63"/>
      <c r="FO103" s="63"/>
    </row>
    <row r="104" spans="2:183"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FB104" s="66"/>
      <c r="FC104" s="66"/>
      <c r="FD104" s="66"/>
      <c r="FE104" s="66"/>
      <c r="FF104" s="66"/>
      <c r="FG104" s="66"/>
      <c r="FH104" s="66"/>
      <c r="FI104" s="66"/>
      <c r="FJ104" s="66"/>
      <c r="FK104" s="66"/>
      <c r="FL104" s="66"/>
      <c r="FM104" s="66"/>
      <c r="FN104" s="66"/>
      <c r="FO104" s="66"/>
    </row>
    <row r="105" spans="2:183"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FB105" s="66"/>
      <c r="FC105" s="66"/>
      <c r="FD105" s="66"/>
      <c r="FE105" s="66"/>
      <c r="FF105" s="66"/>
      <c r="FG105" s="66"/>
      <c r="FH105" s="66"/>
      <c r="FI105" s="66"/>
      <c r="FJ105" s="66"/>
      <c r="FK105" s="66"/>
      <c r="FL105" s="66"/>
      <c r="FM105" s="66"/>
      <c r="FN105" s="66"/>
      <c r="FO105" s="66"/>
    </row>
    <row r="106" spans="2:183"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FB106" s="63"/>
      <c r="FC106" s="63"/>
      <c r="FD106" s="63"/>
      <c r="FE106" s="66"/>
      <c r="FF106" s="66"/>
      <c r="FG106" s="66"/>
      <c r="FH106" s="66"/>
      <c r="FI106" s="66"/>
      <c r="FJ106" s="66"/>
      <c r="FK106" s="66"/>
      <c r="FL106" s="66"/>
      <c r="FM106" s="66"/>
      <c r="FN106" s="66"/>
      <c r="FO106" s="66"/>
    </row>
    <row r="107" spans="2:183"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FB107" s="63"/>
      <c r="FC107" s="63"/>
      <c r="FD107" s="63"/>
      <c r="FE107" s="66"/>
      <c r="FF107" s="66"/>
      <c r="FG107" s="66"/>
      <c r="FH107" s="66"/>
      <c r="FI107" s="66"/>
      <c r="FJ107" s="66"/>
      <c r="FK107" s="66"/>
      <c r="FL107" s="66"/>
      <c r="FM107" s="66"/>
      <c r="FN107" s="66"/>
      <c r="FO107" s="66"/>
    </row>
    <row r="108" spans="2:183"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FB108" s="63"/>
      <c r="FC108" s="63"/>
      <c r="FD108" s="63"/>
      <c r="FE108" s="66"/>
      <c r="FF108" s="66"/>
      <c r="FG108" s="66"/>
      <c r="FH108" s="66"/>
      <c r="FI108" s="66"/>
      <c r="FJ108" s="66"/>
      <c r="FK108" s="66"/>
      <c r="FL108" s="66"/>
      <c r="FM108" s="66"/>
      <c r="FN108" s="66"/>
      <c r="FO108" s="66"/>
    </row>
    <row r="109" spans="2:183"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FB109" s="68"/>
      <c r="FC109" s="68"/>
      <c r="FD109" s="68"/>
      <c r="FE109" s="66"/>
      <c r="FF109" s="66"/>
      <c r="FG109" s="66"/>
      <c r="FH109" s="66"/>
      <c r="FI109" s="66"/>
      <c r="FJ109" s="66"/>
      <c r="FK109" s="66"/>
      <c r="FL109" s="66"/>
      <c r="FM109" s="66"/>
      <c r="FN109" s="66"/>
      <c r="FO109" s="66"/>
    </row>
    <row r="110" spans="2:183"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FB110" s="66"/>
      <c r="FC110" s="66"/>
      <c r="FD110" s="66"/>
      <c r="FE110" s="66"/>
      <c r="FF110" s="66"/>
      <c r="FG110" s="66"/>
      <c r="FH110" s="66"/>
      <c r="FI110" s="66"/>
      <c r="FJ110" s="66"/>
      <c r="FK110" s="66"/>
      <c r="FL110" s="66"/>
      <c r="FM110" s="66"/>
      <c r="FN110" s="66"/>
      <c r="FO110" s="66"/>
    </row>
    <row r="111" spans="2:183"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2:183"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</row>
    <row r="113" spans="2:13"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</row>
    <row r="114" spans="2:13"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2:13"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2:13"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2:13"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2:13"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2:13"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2:13"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2:13"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2:13"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2:13"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K26"/>
  <sheetViews>
    <sheetView workbookViewId="0">
      <selection activeCell="H20" sqref="H20"/>
    </sheetView>
  </sheetViews>
  <sheetFormatPr baseColWidth="10" defaultRowHeight="15"/>
  <cols>
    <col min="5" max="5" width="12.28515625" bestFit="1" customWidth="1"/>
    <col min="8" max="8" width="15.140625" customWidth="1"/>
  </cols>
  <sheetData>
    <row r="2" spans="1:11" ht="45.75" customHeight="1">
      <c r="A2" s="107" t="s">
        <v>20</v>
      </c>
      <c r="B2" s="108" t="s">
        <v>1</v>
      </c>
      <c r="C2" s="6"/>
      <c r="D2" s="5" t="s">
        <v>2</v>
      </c>
      <c r="E2" s="5" t="s">
        <v>21</v>
      </c>
      <c r="F2" s="6"/>
      <c r="G2" s="7" t="s">
        <v>2</v>
      </c>
      <c r="H2" s="8" t="s">
        <v>22</v>
      </c>
    </row>
    <row r="3" spans="1:11">
      <c r="A3" s="105">
        <v>1</v>
      </c>
      <c r="B3" s="106" t="s">
        <v>23</v>
      </c>
      <c r="D3" s="9">
        <v>2003</v>
      </c>
      <c r="E3" s="10">
        <v>49411.959699781924</v>
      </c>
      <c r="G3" s="9">
        <v>2003</v>
      </c>
      <c r="H3" s="11">
        <v>6435.5050000000001</v>
      </c>
    </row>
    <row r="4" spans="1:11">
      <c r="A4" s="105">
        <v>2</v>
      </c>
      <c r="B4" s="106" t="s">
        <v>24</v>
      </c>
      <c r="D4" s="9">
        <v>2004</v>
      </c>
      <c r="E4" s="10">
        <v>57501.991731711008</v>
      </c>
      <c r="G4" s="9">
        <v>2004</v>
      </c>
      <c r="H4" s="11">
        <v>5975.6848701298695</v>
      </c>
      <c r="J4" s="89"/>
      <c r="K4" s="89"/>
    </row>
    <row r="5" spans="1:11">
      <c r="A5" s="105">
        <v>3</v>
      </c>
      <c r="B5" s="106" t="s">
        <v>25</v>
      </c>
      <c r="D5" s="9">
        <v>2005</v>
      </c>
      <c r="E5" s="10">
        <v>66335.828408449219</v>
      </c>
      <c r="G5" s="9">
        <v>2005</v>
      </c>
      <c r="H5" s="11">
        <v>6177.929761904762</v>
      </c>
    </row>
    <row r="6" spans="1:11">
      <c r="A6" s="105">
        <v>4</v>
      </c>
      <c r="B6" s="106" t="s">
        <v>26</v>
      </c>
      <c r="D6" s="9">
        <v>2006</v>
      </c>
      <c r="E6" s="10">
        <v>75681.657797839813</v>
      </c>
      <c r="G6" s="9">
        <v>2006</v>
      </c>
      <c r="H6" s="11">
        <v>5635.5078030303039</v>
      </c>
    </row>
    <row r="7" spans="1:11">
      <c r="A7" s="105">
        <v>5</v>
      </c>
      <c r="B7" s="106" t="s">
        <v>27</v>
      </c>
      <c r="D7" s="9">
        <v>2007</v>
      </c>
      <c r="E7" s="10">
        <v>89866.048799896729</v>
      </c>
      <c r="G7" s="9">
        <v>2007</v>
      </c>
      <c r="H7" s="11">
        <v>5032.744607430137</v>
      </c>
    </row>
    <row r="8" spans="1:11">
      <c r="A8" s="105">
        <v>6</v>
      </c>
      <c r="B8" s="106" t="s">
        <v>28</v>
      </c>
      <c r="D8" s="9">
        <v>2008</v>
      </c>
      <c r="E8" s="10">
        <v>107235.74452082052</v>
      </c>
      <c r="G8" s="9">
        <v>2008</v>
      </c>
      <c r="H8" s="11">
        <v>4363.0665456320312</v>
      </c>
    </row>
    <row r="9" spans="1:11">
      <c r="A9" s="105">
        <v>7</v>
      </c>
      <c r="B9" s="106" t="s">
        <v>29</v>
      </c>
      <c r="D9" s="9">
        <v>2009</v>
      </c>
      <c r="E9" s="10">
        <v>110962.162519976</v>
      </c>
      <c r="G9" s="9">
        <v>2009</v>
      </c>
      <c r="H9" s="11">
        <v>4966.582265838344</v>
      </c>
    </row>
    <row r="10" spans="1:11">
      <c r="A10" s="105">
        <v>8</v>
      </c>
      <c r="B10" s="106" t="s">
        <v>30</v>
      </c>
      <c r="D10" s="9">
        <v>2010</v>
      </c>
      <c r="E10" s="10">
        <v>128989.49538850183</v>
      </c>
      <c r="G10" s="9">
        <v>2010</v>
      </c>
      <c r="H10" s="11">
        <v>4739.4784449855697</v>
      </c>
    </row>
    <row r="11" spans="1:11">
      <c r="A11" s="105">
        <v>9</v>
      </c>
      <c r="B11" s="106" t="s">
        <v>31</v>
      </c>
      <c r="D11" s="9">
        <v>2011</v>
      </c>
      <c r="E11" s="10">
        <v>141315.79980709453</v>
      </c>
      <c r="G11" s="9">
        <v>2011</v>
      </c>
      <c r="H11" s="11">
        <v>4196.178620091895</v>
      </c>
    </row>
    <row r="12" spans="1:11">
      <c r="A12" s="105">
        <v>10</v>
      </c>
      <c r="B12" s="106" t="s">
        <v>32</v>
      </c>
      <c r="D12" s="9">
        <v>2012</v>
      </c>
      <c r="E12" s="10">
        <v>147275.54197665266</v>
      </c>
      <c r="G12" s="9">
        <v>2012</v>
      </c>
      <c r="H12" s="11">
        <v>4422.0911214209764</v>
      </c>
    </row>
    <row r="13" spans="1:11">
      <c r="A13" s="105">
        <v>11</v>
      </c>
      <c r="B13" s="106" t="s">
        <v>33</v>
      </c>
      <c r="D13" s="9">
        <v>2013</v>
      </c>
      <c r="E13" s="10">
        <v>166714.58687094846</v>
      </c>
      <c r="G13" s="9">
        <v>2013</v>
      </c>
      <c r="H13" s="11">
        <v>4303.8810946113945</v>
      </c>
    </row>
    <row r="14" spans="1:11">
      <c r="A14" s="109">
        <v>12</v>
      </c>
      <c r="B14" s="110" t="s">
        <v>34</v>
      </c>
      <c r="D14" s="9">
        <v>2014</v>
      </c>
      <c r="E14" s="10">
        <v>179721.60920865697</v>
      </c>
      <c r="G14" s="9">
        <v>2014</v>
      </c>
      <c r="H14" s="11">
        <v>4462.2360777646109</v>
      </c>
      <c r="J14" s="104"/>
    </row>
    <row r="15" spans="1:11">
      <c r="D15" s="9">
        <v>2015</v>
      </c>
      <c r="E15" s="10">
        <v>188230.72332346055</v>
      </c>
      <c r="G15" s="9">
        <v>2015</v>
      </c>
      <c r="H15" s="11">
        <v>5204.9208081108709</v>
      </c>
    </row>
    <row r="16" spans="1:11">
      <c r="D16" s="9">
        <v>2016</v>
      </c>
      <c r="E16" s="10">
        <v>204447.2782764174</v>
      </c>
      <c r="G16" s="9">
        <v>2016</v>
      </c>
      <c r="H16" s="11">
        <v>5670.5408979978356</v>
      </c>
    </row>
    <row r="17" spans="4:10">
      <c r="D17" s="9">
        <v>2017</v>
      </c>
      <c r="E17" s="10">
        <v>219188.41687183932</v>
      </c>
      <c r="G17" s="9">
        <v>2017</v>
      </c>
      <c r="H17" s="11">
        <v>5618.9334516428034</v>
      </c>
    </row>
    <row r="18" spans="4:10">
      <c r="D18" s="9">
        <v>2018</v>
      </c>
      <c r="E18" s="10">
        <v>231489.27758229643</v>
      </c>
      <c r="G18" s="9">
        <v>2018</v>
      </c>
      <c r="H18" s="11">
        <v>5732.1045649777852</v>
      </c>
    </row>
    <row r="19" spans="4:10">
      <c r="D19" s="9">
        <v>2019</v>
      </c>
      <c r="E19" s="10">
        <v>238054.14769779114</v>
      </c>
      <c r="G19" s="9">
        <v>2019</v>
      </c>
      <c r="H19" s="103">
        <v>6213.5246756295674</v>
      </c>
    </row>
    <row r="20" spans="4:10">
      <c r="D20" s="12">
        <v>2020</v>
      </c>
      <c r="E20" s="10">
        <v>239247.40419212345</v>
      </c>
      <c r="G20" s="12">
        <v>2020</v>
      </c>
      <c r="H20" s="103">
        <v>6953.1233333333348</v>
      </c>
    </row>
    <row r="23" spans="4:10">
      <c r="F23" s="90"/>
      <c r="G23" s="90"/>
    </row>
    <row r="25" spans="4:10">
      <c r="G25" s="80"/>
    </row>
    <row r="26" spans="4:10">
      <c r="F26" s="75"/>
      <c r="G26" s="75"/>
      <c r="H26" s="75"/>
      <c r="I26" s="75"/>
      <c r="J26" s="75"/>
    </row>
  </sheetData>
  <pageMargins left="0.7" right="0.7" top="0.75" bottom="0.75" header="0.3" footer="0.3"/>
  <pageSetup paperSize="9" orientation="portrait" horizontalDpi="1200" verticalDpi="120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D a t o s 1 , C a l e n d a r i o , T a b l a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 2 0 2 0 - 0 9 - 0 8 T 1 9 : 0 1 : 4 2 . 8 5 9 6 3 0 6 - 0 4 : 0 0 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8 c 4 9 8 f f - 4 d 9 b - 4 3 9 6 - 9 9 6 2 - a 5 a b 7 b b 0 0 5 1 a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 M e s e s 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 M e s e s 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 C o l u m n s \ N r o . 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 D a t o s 1 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 D a t o s 1 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 C o l u m n s \ P I B   n o m i n a l   ( m i l e s   d e   m i l l o n e s   d e   G . ) 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 c a m b i o   G s . / U S $ 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 C o l u m n s \ I n g r e s o   T o t a l   ( R e c a u d a d o ) 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 C o l u m n s \ I n g r e s o   T o t a l 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 C o l u m n s \ I T   a c u m u l a d o 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 C o l u m n s \ I T 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 a c u m   I n g r e s o 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 i n t e r a n u a l 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 C o l u m n s \ I n g r e s o s   T r i b u t a r i o s 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 C o l u m n s \ P r e s i � n   T r i b u t a r i a 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 C o l u m n s \ T r i b u t a r i o s   A c u m . 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 C o l u m n s \ T r i b u t a r i o s 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 I n t e r a n u a l   T r i b u t a r i o s 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 A c u m .   T r i b u t a r i o s 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 S u m a   1 2 m   T r i b u t a r i o s 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 C o l u m n s \ S E T 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 A n u a l i z a d o   S E T 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 I n t e r a n u a l   S E T 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 C o l u m n s \ D N A 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 A n u a l i z a d o   D N A 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 I n t e r a n u a l   D N A 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 C o l u m n s \ C o n t r i b u c i o n e s   S o c i a l e s 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 C o l u m n s \ C o n t r i b u c i o n e s   S o c i a l e s 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 C o l u m n s \ D o n a c i o n e s 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 C o l u m n s \ D o n a c i o n e s 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 I n g r e s o s 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 i n g r e s o s 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 C o l u m n s \ I t a i p � 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 C o l u m n s \ I t a i p � 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 C o l u m n s \ I t a i p �   a c u m u l a d o   p o r   a � o 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 C o l u m n s \ Y a c y r e t � 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 C o l u m n s \ Y a c y r e t �   ( e n  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 C o l u m n s \ Y a c y r e t �   a c u m u l a d o   p o r   a � o 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 I n g r . 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  T o t a l   ( O b l i g a d o ) 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  T o t a l 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  t o t a l   a c u m u l a d o 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  T o t a l 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 i n t e r a n u a l   g a s t o 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 a c u m u l a d o   g a s t o 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 A n u a l i z a d o   G T 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 C o l u m n s \ R e m u n e r a c i � n   a   l o s   E m p l e a d o s 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 C o l u m n s \ R e m u n .   A c u m . 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 C o l u m n s \ R e m u n .   S u m a 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 I n t e r a n u a l   R e m u n . 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 A c u m u l a d o   R e m u n . 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 V a r .   A n u a l i z a d o   R e m u n . 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 C o l u m n s \ S u e l d o s 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 C o l u m n s \ O t r a s   r e m u n e r a c i o n e s 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 C o l u m n s \ U s o   d e   B i e n e s   y   S e r v i c i o s 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 C o l u m n s \ D o n a c i o n e s   ( G a s t o ) 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 C o l u m n s \ P r e s t a c i o n e s   S o c i a l e s 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 G a s t o s 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 O p e r a t i v o 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 C o l u m n s \ R O N   a c u m u l a d o 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 C o l u m n s \ R O N   a c u m u l a d o 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 i n t e r a n u a l   R O N 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 a c u m u l a d o   R O N 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 a n u a l i z a d o 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 C o l u m n s \ R O N 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 C o l u m n s \ R O N   a n u a l i z a d o 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 C o l u m n s \ A d q u i s i c i � n   N e t a   d e   A c t i v o s   n o   F i n a n c i e r o s 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 C o l u m n s \ A N A N F   a c u m u l a d o 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 C o l u m n s \ A N A N F   a c u m u l a d o   1 2   m e s e s 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 i n t e r a n u a l   A N A N F 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 a c u m u l a d o   p o r   a � o   A N A N F 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 a n u a l i z a d o   A N A N F 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 C o l u m n s \ A N A N F   ( m m 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 C o l u m n s \ A N A N F 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 C o l u m n s \ A N A N F   a c u m .   P o r   a � o 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 C o l u m n s \ A N A N F   a n u a l i z a d o 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 C o l u m n s \ M O P C 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 C o l u m n s \ M O P C   ( m m 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 C o l u m n s \ O t r a s   e n t i d a d e s 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 C o l u m n s \ O t r a s   e n t i d a d e s   ( m m 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 ( m i l e s   d e   m i l l o n e s   d e   G . ) 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 a c u m u l a d o   p o r  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 a n u a l i z a d o 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 a n u a l i z a d o   ( m i l l o n e s   d e  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 i n t e r a n u a l   R e s u l t a d o   F i s c a l 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 a c u m u l a d o   R e s u l t a d o   F i s c a l 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 V a r   a n u a l i z a d o   R e s u l t a d o   F i s c a l 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 a n u a l i z a d o 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 C o l u m n s \ S S P P   f i n a n c i a d o s   c o n   I n g r e s o s   T r i b u t a r i o s 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 C o l u m n s \ B i n a c i o n a l e s 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 p r i m a r i o 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 f i s c a l   p r i m a r i o 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 C o l u m n s \ S a l a r i o s   L e y   d e   E m e r g e n c i a 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 C o l u m n s \ F F P P 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 C o l u m n s \ M S P B S 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 C o l u m n s \ H o s p i t a l   d e   C l � n i c a s 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 C o l u m n s \ R e s u l t a d o   O p e r a t i v o   P r i m a r i o 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 C o l u m n s \ R O N   P r i m a r i o   ( %   d e l 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 C o l u m n s \ G a s t o + I n v e r s i � n 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 C o l u m n s \ G a s t o + I n v e r s i � n   ( %   P I B ) 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 C o l u m n s \ M J 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 C o l u m n s \ M T E S S 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5 5 4 7 4 f 0 5 - e f 4 1 - 4 7 1 d - a 0 e 9 - b 8 3 f 9 c 1 e a c b 5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3 c 1 1 0 0 1 0 - 4 7 2 b - 4 6 4 4 - b f b f - b a a f e b 0 4 e 0 3 3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 M e s e s 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 M e s e s 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 C o l u m n s \ N r o . 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 C o l u m n s \ N r o . 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 C a l e n d a r i o < / K e y > < / D i a g r a m O b j e c t K e y > < D i a g r a m O b j e c t K e y > < K e y > A c t i o n s \ A d d   t o   h i e r a r c h y   F o r   & l t ; T a b l e s \ C a l e n d a r i o \ H i e r a r c h i e s \ J e r a r q u � a   d e   f e c h a s & g t ; < / K e y > < / D i a g r a m O b j e c t K e y > < D i a g r a m O b j e c t K e y > < K e y > A c t i o n s \ M o v e   t o   a   H i e r a r c h y   i n   T a b l e   C a l e n d a r i o < / K e y > < / D i a g r a m O b j e c t K e y > < D i a g r a m O b j e c t K e y > < K e y > A c t i o n s \ M o v e   i n t o   h i e r a r c h y   F o r   & l t ; T a b l e s \ C a l e n d a r i o \ H i e r a r c h i e s \ J e r a r q u � a   d e   f e c h a s & g t ; 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 T a g s \ T a b l e s \ & l t ; T a b l e s \ D a t o s 1 & g t ; 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 T a g s \ H i e r a r c h i e s \ & l t ; T a b l e s \ C a l e n d a r i o \ H i e r a r c h i e s \ J e r a r q u � a   d e   f e c h a s & g t ; < / K e y > < / D i a g r a m O b j e c t K e y > < D i a g r a m O b j e c t K e y > < K e y > D y n a m i c   T a g s \ T a b l e s \ & l t ; T a b l e s \ M e s e s & g t ; < / K e y > < / D i a g r a m O b j e c t K e y > < D i a g r a m O b j e c t K e y > < K e y > T a b l e s \ D a t o s 1 < / K e y > < / D i a g r a m O b j e c t K e y > < D i a g r a m O b j e c t K e y > < K e y > T a b l e s \ D a t o s 1 \ C o l u m n s \ O r d e n < / K e y > < / D i a g r a m O b j e c t K e y > < D i a g r a m O b j e c t K e y > < K e y > T a b l e s \ D a t o s 1 \ C o l u m n s \ P e r i o d o < / K e y > < / D i a g r a m O b j e c t K e y > < D i a g r a m O b j e c t K e y > < K e y > T a b l e s \ D a t o s 1 \ C o l u m n s \ M e s < / K e y > < / D i a g r a m O b j e c t K e y > < D i a g r a m O b j e c t K e y > < K e y > T a b l e s \ D a t o s 1 \ C o l u m n s \ A � o < / K e y > < / D i a g r a m O b j e c t K e y > < D i a g r a m O b j e c t K e y > < K e y > T a b l e s \ D a t o s 1 \ C o l u m n s \ P I B   n o m i n a l   ( m i l e s   d e   m i l l o n e s   d e   G . ) < / K e y > < / D i a g r a m O b j e c t K e y > < D i a g r a m O b j e c t K e y > < K e y > T a b l e s \ D a t o s 1 \ C o l u m n s \ T i p o   d e   c a m b i o   G s . / U S $ < / K e y > < / D i a g r a m O b j e c t K e y > < D i a g r a m O b j e c t K e y > < K e y > T a b l e s \ D a t o s 1 \ C o l u m n s \ I n g r e s o   T o t a l   ( R e c a u d a d o ) < / K e y > < / D i a g r a m O b j e c t K e y > < D i a g r a m O b j e c t K e y > < K e y > T a b l e s \ D a t o s 1 \ C o l u m n s \ I n g r e s o   T o t a l   ( %   d e l   P I B ) < / K e y > < / D i a g r a m O b j e c t K e y > < D i a g r a m O b j e c t K e y > < K e y > T a b l e s \ D a t o s 1 \ C o l u m n s \ I T   a c u m u l a d o   p o r   a � o < / K e y > < / D i a g r a m O b j e c t K e y > < D i a g r a m O b j e c t K e y > < K e y > T a b l e s \ D a t o s 1 \ C o l u m n s \ I T   S u m a   1 2   m e s e s < / K e y > < / D i a g r a m O b j e c t K e y > < D i a g r a m O b j e c t K e y > < K e y > T a b l e s \ D a t o s 1 \ C o l u m n s \ %   V a r   a c u m   I n g r e s o   t o t a l < / K e y > < / D i a g r a m O b j e c t K e y > < D i a g r a m O b j e c t K e y > < K e y > T a b l e s \ D a t o s 1 \ C o l u m n s \ %   V a r   i n t e r a n u a l < / K e y > < / D i a g r a m O b j e c t K e y > < D i a g r a m O b j e c t K e y > < K e y > T a b l e s \ D a t o s 1 \ C o l u m n s \ %   V a r   s u m a   1 2   m e s e s < / K e y > < / D i a g r a m O b j e c t K e y > < D i a g r a m O b j e c t K e y > < K e y > T a b l e s \ D a t o s 1 \ C o l u m n s \ I n g r e s o s   T r i b u t a r i o s < / K e y > < / D i a g r a m O b j e c t K e y > < D i a g r a m O b j e c t K e y > < K e y > T a b l e s \ D a t o s 1 \ C o l u m n s \ P r e s i � n   T r i b u t a r i a < / K e y > < / D i a g r a m O b j e c t K e y > < D i a g r a m O b j e c t K e y > < K e y > T a b l e s \ D a t o s 1 \ C o l u m n s \ T r i b u t a r i o s   A c u m .   P o r   a � o < / K e y > < / D i a g r a m O b j e c t K e y > < D i a g r a m O b j e c t K e y > < K e y > T a b l e s \ D a t o s 1 \ C o l u m n s \ T r i b u t a r i o s   s u m a   1 2   m e s e s < / K e y > < / D i a g r a m O b j e c t K e y > < D i a g r a m O b j e c t K e y > < K e y > T a b l e s \ D a t o s 1 \ C o l u m n s \ %   V a r .   I n t e r a n u a l   T r i b u t a r i o s < / K e y > < / D i a g r a m O b j e c t K e y > < D i a g r a m O b j e c t K e y > < K e y > T a b l e s \ D a t o s 1 \ C o l u m n s \ %   V a r .   A c u m .   T r i b u t a r i o s < / K e y > < / D i a g r a m O b j e c t K e y > < D i a g r a m O b j e c t K e y > < K e y > T a b l e s \ D a t o s 1 \ C o l u m n s \ %   V a r .   S u m a   1 2 m   T r i b u t a r i o s < / K e y > < / D i a g r a m O b j e c t K e y > < D i a g r a m O b j e c t K e y > < K e y > T a b l e s \ D a t o s 1 \ C o l u m n s \ S E T < / K e y > < / D i a g r a m O b j e c t K e y > < D i a g r a m O b j e c t K e y > < K e y > T a b l e s \ D a t o s 1 \ C o l u m n s \ S E T   s u m a   1 2   m e s e s < / K e y > < / D i a g r a m O b j e c t K e y > < D i a g r a m O b j e c t K e y > < K e y > T a b l e s \ D a t o s 1 \ C o l u m n s \ %   V a r .   A n u a l i z a d o   S E T < / K e y > < / D i a g r a m O b j e c t K e y > < D i a g r a m O b j e c t K e y > < K e y > T a b l e s \ D a t o s 1 \ C o l u m n s \ D N A < / K e y > < / D i a g r a m O b j e c t K e y > < D i a g r a m O b j e c t K e y > < K e y > T a b l e s \ D a t o s 1 \ C o l u m n s \ D N A   s u m a   1 2   m e s e s < / K e y > < / D i a g r a m O b j e c t K e y > < D i a g r a m O b j e c t K e y > < K e y > T a b l e s \ D a t o s 1 \ C o l u m n s \ %   V a r .   A n u a l i z a d o   D N A < / K e y > < / D i a g r a m O b j e c t K e y > < D i a g r a m O b j e c t K e y > < K e y > T a b l e s \ D a t o s 1 \ C o l u m n s \ C o n t r i b u c i o n e s   S o c i a l e s < / K e y > < / D i a g r a m O b j e c t K e y > < D i a g r a m O b j e c t K e y > < K e y > T a b l e s \ D a t o s 1 \ C o l u m n s \ C o n t r i b u c i o n e s   S o c i a l e s   ( %   d e l   P I B ) < / K e y > < / D i a g r a m O b j e c t K e y > < D i a g r a m O b j e c t K e y > < K e y > T a b l e s \ D a t o s 1 \ C o l u m n s \ D o n a c i o n e s < / K e y > < / D i a g r a m O b j e c t K e y > < D i a g r a m O b j e c t K e y > < K e y > T a b l e s \ D a t o s 1 \ C o l u m n s \ D o n a c i o n e s   ( %   d e l   P I B ) < / K e y > < / D i a g r a m O b j e c t K e y > < D i a g r a m O b j e c t K e y > < K e y > T a b l e s \ D a t o s 1 \ C o l u m n s \ D e   G o b i e r n o s   E x t r a n j e r o s < / K e y > < / D i a g r a m O b j e c t K e y > < D i a g r a m O b j e c t K e y > < K e y > T a b l e s \ D a t o s 1 \ C o l u m n s \ D e   O r g a n i s m o s   I n t e r n a c i o n a l e s < / K e y > < / D i a g r a m O b j e c t K e y > < D i a g r a m O b j e c t K e y > < K e y > T a b l e s \ D a t o s 1 \ C o l u m n s \ D e   o t r a s   u n i d a d e s   d e   G o b i e r n o   G e n e r a l < / K e y > < / D i a g r a m O b j e c t K e y > < D i a g r a m O b j e c t K e y > < K e y > T a b l e s \ D a t o s 1 \ C o l u m n s \ O t r o s   I n g r e s o s < / K e y > < / D i a g r a m O b j e c t K e y > < D i a g r a m O b j e c t K e y > < K e y > T a b l e s \ D a t o s 1 \ C o l u m n s \ O t r o s   i n g r e s o s   ( m i l l o n e s   d e   U S $ ) < / K e y > < / D i a g r a m O b j e c t K e y > < D i a g r a m O b j e c t K e y > < K e y > T a b l e s \ D a t o s 1 \ C o l u m n s \ I t a i p � < / K e y > < / D i a g r a m O b j e c t K e y > < D i a g r a m O b j e c t K e y > < K e y > T a b l e s \ D a t o s 1 \ C o l u m n s \ I t a i p �   ( m i l l o n e s   d e   U S $ ) < / K e y > < / D i a g r a m O b j e c t K e y > < D i a g r a m O b j e c t K e y > < K e y > T a b l e s \ D a t o s 1 \ C o l u m n s \ I t a i p �   a c u m u l a d o   p o r   a � o   ( m i l l o n e s   d e   U S $ ) < / K e y > < / D i a g r a m O b j e c t K e y > < D i a g r a m O b j e c t K e y > < K e y > T a b l e s \ D a t o s 1 \ C o l u m n s \ Y a c y r e t � < / K e y > < / D i a g r a m O b j e c t K e y > < D i a g r a m O b j e c t K e y > < K e y > T a b l e s \ D a t o s 1 \ C o l u m n s \ Y a c y r e t �   ( e n   m i l l o n e s   d e   U S $ ) < / K e y > < / D i a g r a m O b j e c t K e y > < D i a g r a m O b j e c t K e y > < K e y > T a b l e s \ D a t o s 1 \ C o l u m n s \ Y a c y r e t �   a c u m u l a d o   p o r   a � o   ( m i l l o n e s   d e   U S $ ) < / K e y > < / D i a g r a m O b j e c t K e y > < D i a g r a m O b j e c t K e y > < K e y > T a b l e s \ D a t o s 1 \ C o l u m n s \ O t r o s   I n g r . < / K e y > < / D i a g r a m O b j e c t K e y > < D i a g r a m O b j e c t K e y > < K e y > T a b l e s \ D a t o s 1 \ C o l u m n s \ G a s t o   T o t a l   ( O b l i g a d o ) < / K e y > < / D i a g r a m O b j e c t K e y > < D i a g r a m O b j e c t K e y > < K e y > T a b l e s \ D a t o s 1 \ C o l u m n s \ G a s t o   T o t a l   ( %   d e l   P I B ) < / K e y > < / D i a g r a m O b j e c t K e y > < D i a g r a m O b j e c t K e y > < K e y > T a b l e s \ D a t o s 1 \ C o l u m n s \ G a s t o   t o t a l   a c u m u l a d o   p o r   a � o < / K e y > < / D i a g r a m O b j e c t K e y > < D i a g r a m O b j e c t K e y > < K e y > T a b l e s \ D a t o s 1 \ C o l u m n s \ G a s t o   T o t a l   s u m a   1 2   m e s e s < / K e y > < / D i a g r a m O b j e c t K e y > < D i a g r a m O b j e c t K e y > < K e y > T a b l e s \ D a t o s 1 \ C o l u m n s \ %   V a r   i n t e r a n u a l   g a s t o   t o t a l < / K e y > < / D i a g r a m O b j e c t K e y > < D i a g r a m O b j e c t K e y > < K e y > T a b l e s \ D a t o s 1 \ C o l u m n s \ %   V a r   a c u m u l a d o   g a s t o   t o t a l < / K e y > < / D i a g r a m O b j e c t K e y > < D i a g r a m O b j e c t K e y > < K e y > T a b l e s \ D a t o s 1 \ C o l u m n s \ %   V a r .   A n u a l i z a d o   G T < / K e y > < / D i a g r a m O b j e c t K e y > < D i a g r a m O b j e c t K e y > < K e y > T a b l e s \ D a t o s 1 \ C o l u m n s \ R e m u n e r a c i � n   a   l o s   E m p l e a d o s < / K e y > < / D i a g r a m O b j e c t K e y > < D i a g r a m O b j e c t K e y > < K e y > T a b l e s \ D a t o s 1 \ C o l u m n s \ R e m u n .   A c u m .   P o r   a � o < / K e y > < / D i a g r a m O b j e c t K e y > < D i a g r a m O b j e c t K e y > < K e y > T a b l e s \ D a t o s 1 \ C o l u m n s \ R e m u n .   S u m a   1 2   m e s e s < / K e y > < / D i a g r a m O b j e c t K e y > < D i a g r a m O b j e c t K e y > < K e y > T a b l e s \ D a t o s 1 \ C o l u m n s \ %   V a r .   I n t e r a n u a l   R e m u n . < / K e y > < / D i a g r a m O b j e c t K e y > < D i a g r a m O b j e c t K e y > < K e y > T a b l e s \ D a t o s 1 \ C o l u m n s \ %   V a r .   A c u m u l a d o   R e m u n . < / K e y > < / D i a g r a m O b j e c t K e y > < D i a g r a m O b j e c t K e y > < K e y > T a b l e s \ D a t o s 1 \ C o l u m n s \ %   V a r .   A n u a l i z a d o   R e m u n . < / K e y > < / D i a g r a m O b j e c t K e y > < D i a g r a m O b j e c t K e y > < K e y > T a b l e s \ D a t o s 1 \ C o l u m n s \ S u e l d o s < / K e y > < / D i a g r a m O b j e c t K e y > < D i a g r a m O b j e c t K e y > < K e y > T a b l e s \ D a t o s 1 \ C o l u m n s \ O t r a s   r e m u n e r a c i o n e s < / K e y > < / D i a g r a m O b j e c t K e y > < D i a g r a m O b j e c t K e y > < K e y > T a b l e s \ D a t o s 1 \ C o l u m n s \ U s o   d e   B i e n e s   y   S e r v i c i o s < / K e y > < / D i a g r a m O b j e c t K e y > < D i a g r a m O b j e c t K e y > < K e y > T a b l e s \ D a t o s 1 \ C o l u m n s \ S e r v i c i o s   n o   P e r s o n a l e s < / K e y > < / D i a g r a m O b j e c t K e y > < D i a g r a m O b j e c t K e y > < K e y > T a b l e s \ D a t o s 1 \ C o l u m n s \ B i e n e s   d e   C o n s u m o < / K e y > < / D i a g r a m O b j e c t K e y > < D i a g r a m O b j e c t K e y > < K e y > T a b l e s \ D a t o s 1 \ C o l u m n s \ C o m i s i o n e s < / K e y > < / D i a g r a m O b j e c t K e y > < D i a g r a m O b j e c t K e y > < K e y > T a b l e s \ D a t o s 1 \ C o l u m n s \ O t r o s   U s o s   d e   B i e n e s   y   S e r v i c i o s < / K e y > < / D i a g r a m O b j e c t K e y > < D i a g r a m O b j e c t K e y > < K e y > T a b l e s \ D a t o s 1 \ C o l u m n s \ I n t e r e s e s < / K e y > < / D i a g r a m O b j e c t K e y > < D i a g r a m O b j e c t K e y > < K e y > T a b l e s \ D a t o s 1 \ C o l u m n s \ I n t e r e s e s   ( m i l l o n e s   d e   U S $ ) < / K e y > < / D i a g r a m O b j e c t K e y > < D i a g r a m O b j e c t K e y > < K e y > T a b l e s \ D a t o s 1 \ C o l u m n s \ D o n a c i o n e s   ( G a s t o ) < / K e y > < / D i a g r a m O b j e c t K e y > < D i a g r a m O b j e c t K e y > < K e y > T a b l e s \ D a t o s 1 \ C o l u m n s \ A   O r g a n i s m o s   I n t e r n a c i o n a l e s < / K e y > < / D i a g r a m O b j e c t K e y > < D i a g r a m O b j e c t K e y > < K e y > T a b l e s \ D a t o s 1 \ C o l u m n s \ A   O t r a s   U n i d a d e s   d e   G o b i e r n o   G e n e r a l < / K e y > < / D i a g r a m O b j e c t K e y > < D i a g r a m O b j e c t K e y > < K e y > T a b l e s \ D a t o s 1 \ C o l u m n s \ P r e s t a c i o n e s   S o c i a l e s < / K e y > < / D i a g r a m O b j e c t K e y > < D i a g r a m O b j e c t K e y > < K e y > T a b l e s \ D a t o s 1 \ C o l u m n s \ O t r o s   G a s t o s < / K e y > < / D i a g r a m O b j e c t K e y > < D i a g r a m O b j e c t K e y > < K e y > T a b l e s \ D a t o s 1 \ C o l u m n s \ R e s u l t a d o   O p e r a t i v o   N e t o < / K e y > < / D i a g r a m O b j e c t K e y > < D i a g r a m O b j e c t K e y > < K e y > T a b l e s \ D a t o s 1 \ C o l u m n s \ R O N   a c u m u l a d o   p o r   a � o < / K e y > < / D i a g r a m O b j e c t K e y > < D i a g r a m O b j e c t K e y > < K e y > T a b l e s \ D a t o s 1 \ C o l u m n s \ R O N   a c u m u l a d o   1 2   m e s e s < / K e y > < / D i a g r a m O b j e c t K e y > < D i a g r a m O b j e c t K e y > < K e y > T a b l e s \ D a t o s 1 \ C o l u m n s \ %   V a r   i n t e r a n u a l   R O N < / K e y > < / D i a g r a m O b j e c t K e y > < D i a g r a m O b j e c t K e y > < K e y > T a b l e s \ D a t o s 1 \ C o l u m n s \ %   V a r   a c u m u l a d o   R O N < / K e y > < / D i a g r a m O b j e c t K e y > < D i a g r a m O b j e c t K e y > < K e y > T a b l e s \ D a t o s 1 \ C o l u m n s \ %   V a r   a n u a l i z a d o < / K e y > < / D i a g r a m O b j e c t K e y > < D i a g r a m O b j e c t K e y > < K e y > T a b l e s \ D a t o s 1 \ C o l u m n s \ R O N   ( %   d e l   P I B ) < / K e y > < / D i a g r a m O b j e c t K e y > < D i a g r a m O b j e c t K e y > < K e y > T a b l e s \ D a t o s 1 \ C o l u m n s \ R O N   a n u a l i z a d o   ( %   d e l   P I B ) < / K e y > < / D i a g r a m O b j e c t K e y > < D i a g r a m O b j e c t K e y > < K e y > T a b l e s \ D a t o s 1 \ C o l u m n s \ A d q u i s i c i � n   N e t a   d e   A c t i v o s   n o   F i n a n c i e r o s < / K e y > < / D i a g r a m O b j e c t K e y > < D i a g r a m O b j e c t K e y > < K e y > T a b l e s \ D a t o s 1 \ C o l u m n s \ A N A N F   a c u m u l a d o   p o r   a � o < / K e y > < / D i a g r a m O b j e c t K e y > < D i a g r a m O b j e c t K e y > < K e y > T a b l e s \ D a t o s 1 \ C o l u m n s \ A N A N F   a c u m u l a d o   1 2   m e s e s < / K e y > < / D i a g r a m O b j e c t K e y > < D i a g r a m O b j e c t K e y > < K e y > T a b l e s \ D a t o s 1 \ C o l u m n s \ %   V a r   i n t e r a n u a l   A N A N F < / K e y > < / D i a g r a m O b j e c t K e y > < D i a g r a m O b j e c t K e y > < K e y > T a b l e s \ D a t o s 1 \ C o l u m n s \ %   V a r   a c u m u l a d o   p o r   a � o   A N A N F < / K e y > < / D i a g r a m O b j e c t K e y > < D i a g r a m O b j e c t K e y > < K e y > T a b l e s \ D a t o s 1 \ C o l u m n s \ %   V a r   a n u a l i z a d o   A N A N F < / K e y > < / D i a g r a m O b j e c t K e y > < D i a g r a m O b j e c t K e y > < K e y > T a b l e s \ D a t o s 1 \ C o l u m n s \ A N A N F   ( m m   U S $ ) < / K e y > < / D i a g r a m O b j e c t K e y > < D i a g r a m O b j e c t K e y > < K e y > T a b l e s \ D a t o s 1 \ C o l u m n s \ A N A N F   ( %   d e l   P I B ) < / K e y > < / D i a g r a m O b j e c t K e y > < D i a g r a m O b j e c t K e y > < K e y > T a b l e s \ D a t o s 1 \ C o l u m n s \ A N A N F   a c u m .   P o r   a � o   ( %   d e l   P I B ) < / K e y > < / D i a g r a m O b j e c t K e y > < D i a g r a m O b j e c t K e y > < K e y > T a b l e s \ D a t o s 1 \ C o l u m n s \ A N A N F   a n u a l i z a d o   ( %   d e l   P I B ) < / K e y > < / D i a g r a m O b j e c t K e y > < D i a g r a m O b j e c t K e y > < K e y > T a b l e s \ D a t o s 1 \ C o l u m n s \ M O P C < / K e y > < / D i a g r a m O b j e c t K e y > < D i a g r a m O b j e c t K e y > < K e y > T a b l e s \ D a t o s 1 \ C o l u m n s \ M O P C   ( m m   U S $ ) < / K e y > < / D i a g r a m O b j e c t K e y > < D i a g r a m O b j e c t K e y > < K e y > T a b l e s \ D a t o s 1 \ C o l u m n s \ O t r a s   e n t i d a d e s < / K e y > < / D i a g r a m O b j e c t K e y > < D i a g r a m O b j e c t K e y > < K e y > T a b l e s \ D a t o s 1 \ C o l u m n s \ O t r a s   e n t i d a d e s   ( m m   U S $ ) < / K e y > < / D i a g r a m O b j e c t K e y > < D i a g r a m O b j e c t K e y > < K e y > T a b l e s \ D a t o s 1 \ C o l u m n s \ R e s u l t a d o   F i s c a l   ( m i l e s   d e   m i l l o n e s   d e   G . ) < / K e y > < / D i a g r a m O b j e c t K e y > < D i a g r a m O b j e c t K e y > < K e y > T a b l e s \ D a t o s 1 \ C o l u m n s \ R e s u l t a d o   F i s c a l   a c u m u l a d o   p o r   a � o < / K e y > < / D i a g r a m O b j e c t K e y > < D i a g r a m O b j e c t K e y > < K e y > T a b l e s \ D a t o s 1 \ C o l u m n s \ R e s u l t a d o   f i s c a l   a n u a l i z a d o < / K e y > < / D i a g r a m O b j e c t K e y > < D i a g r a m O b j e c t K e y > < K e y > T a b l e s \ D a t o s 1 \ C o l u m n s \ %   V a r   i n t e r a n u a l   R e s u l t a d o   F i s c a l < / K e y > < / D i a g r a m O b j e c t K e y > < D i a g r a m O b j e c t K e y > < K e y > T a b l e s \ D a t o s 1 \ C o l u m n s \ %   V a r   a c u m u l a d o   R e s u l t a d o   F i s c a l < / K e y > < / D i a g r a m O b j e c t K e y > < D i a g r a m O b j e c t K e y > < K e y > T a b l e s \ D a t o s 1 \ C o l u m n s \ %   V a r   a n u a l i z a d o   R e s u l t a d o   F i s c a l < / K e y > < / D i a g r a m O b j e c t K e y > < D i a g r a m O b j e c t K e y > < K e y > T a b l e s \ D a t o s 1 \ C o l u m n s \ R e s u l t a d o   F i s c a l   ( %   d e l   P I B ) < / K e y > < / D i a g r a m O b j e c t K e y > < D i a g r a m O b j e c t K e y > < K e y > T a b l e s \ D a t o s 1 \ C o l u m n s \ R e s u l t a d o   f i s c a l   a n u a l i z a d o   ( %   d e l   P I B ) < / K e y > < / D i a g r a m O b j e c t K e y > < D i a g r a m O b j e c t K e y > < K e y > T a b l e s \ D a t o s 1 \ C o l u m n s \ S S P P   f i n a n c i a d o s   c o n   I n g r e s o s   T r i b u t a r i o s < / K e y > < / D i a g r a m O b j e c t K e y > < D i a g r a m O b j e c t K e y > < K e y > T a b l e s \ D a t o s 1 \ C o l u m n s \ B i n a c i o n a l e s < / K e y > < / D i a g r a m O b j e c t K e y > < D i a g r a m O b j e c t K e y > < K e y > T a b l e s \ D a t o s 1 \ C o l u m n s \ R e s u l t a d o   f i s c a l   p r i m a r i o < / K e y > < / D i a g r a m O b j e c t K e y > < D i a g r a m O b j e c t K e y > < K e y > T a b l e s \ D a t o s 1 \ C o l u m n s \ R e s u l t a d o   f i s c a l   p r i m a r i o   ( %   d e l   P I B ) < / K e y > < / D i a g r a m O b j e c t K e y > < D i a g r a m O b j e c t K e y > < K e y > T a b l e s \ D a t o s 1 \ C o l u m n s \ I n g r e s o   T o t a l   R e c a u d a d o   d e f l a c t a d o < / K e y > < / D i a g r a m O b j e c t K e y > < D i a g r a m O b j e c t K e y > < K e y > T a b l e s \ D a t o s 1 \ C o l u m n s \ I n g r e s o s   T r i b u t a r i o s   d e f l a c t a d o s < / K e y > < / D i a g r a m O b j e c t K e y > < D i a g r a m O b j e c t K e y > < K e y > T a b l e s \ D a t o s 1 \ C o l u m n s \ G a s t o   T o t a l   O b l i g a d o   d e f l a c t a d o < / K e y > < / D i a g r a m O b j e c t K e y > < D i a g r a m O b j e c t K e y > < K e y > T a b l e s \ D a t o s 1 \ C o l u m n s \ G a s t o   +   I n v e r s i � n   R e a l   d e f l a c t a d o < / K e y > < / D i a g r a m O b j e c t K e y > < D i a g r a m O b j e c t K e y > < K e y > T a b l e s \ D a t o s 1 \ C o l u m n s \ R e m u n e r a c i � n   E m p l e a d o s   d e f l a c t a d o < / K e y > < / D i a g r a m O b j e c t K e y > < D i a g r a m O b j e c t K e y > < K e y > T a b l e s \ D a t o s 1 \ C o l u m n s \ I n t e r e s e s   d e f l a c t a d o s < / K e y > < / D i a g r a m O b j e c t K e y > < D i a g r a m O b j e c t K e y > < K e y > T a b l e s \ D a t o s 1 \ C o l u m n s \ A d q u i s i c i � n   N e t a   d e   A c t i v o s   n o   F i n a n c i e r o s   d e f l a c t a d o s < / K e y > < / D i a g r a m O b j e c t K e y > < D i a g r a m O b j e c t K e y > < K e y > T a b l e s \ D a t o s 1 \ C o l u m n s \ G a s t o   C o r r i e n t e   P r i m a r i o   d e f l a c t a d o < / K e y > < / D i a g r a m O b j e c t K e y > < D i a g r a m O b j e c t K e y > < K e y > T a b l e s \ D a t o s 1 \ C o l u m n s \ P r � s t a m o   d e   E n d e u d a m i e n t o   N e t o   d e f l a c t a d o < / K e y > < / D i a g r a m O b j e c t K e y > < D i a g r a m O b j e c t K e y > < K e y > T a b l e s \ D a t o s 1 \ C o l u m n s \ %   V a r   r e a l   I n g r e s o   T o t a l   R e c a u d a d o < / K e y > < / D i a g r a m O b j e c t K e y > < D i a g r a m O b j e c t K e y > < K e y > T a b l e s \ D a t o s 1 \ C o l u m n s \ %   V a r   r e a l   I n g r e s o s   T r i b u t a r i o s   d e f l a c t a d o s < / K e y > < / D i a g r a m O b j e c t K e y > < D i a g r a m O b j e c t K e y > < K e y > T a b l e s \ D a t o s 1 \ C o l u m n s \ %   V a r   r e a l   G a s t o   T o t a l   O b l i g a d o < / K e y > < / D i a g r a m O b j e c t K e y > < D i a g r a m O b j e c t K e y > < K e y > T a b l e s \ D a t o s 1 \ C o l u m n s \ %   V a r   r e a l   G a s t o   +   I n v e r s i � n   R e a l   d e f l a c t a d o < / K e y > < / D i a g r a m O b j e c t K e y > < D i a g r a m O b j e c t K e y > < K e y > T a b l e s \ D a t o s 1 \ C o l u m n s \ & a m p ;   V a r   r e a l   R e m u n e r a c i � n   E m p l e a d o s < / K e y > < / D i a g r a m O b j e c t K e y > < D i a g r a m O b j e c t K e y > < K e y > T a b l e s \ D a t o s 1 \ C o l u m n s \ %   V a r   r e a l   I n t e r e s e s < / K e y > < / D i a g r a m O b j e c t K e y > < D i a g r a m O b j e c t K e y > < K e y > T a b l e s \ D a t o s 1 \ C o l u m n s \ %   V a r   r e a l   A d q u i s i c i � n   N e t a   d e   A c t i v o s   n o   F i n a n c i e r o s < / K e y > < / D i a g r a m O b j e c t K e y > < D i a g r a m O b j e c t K e y > < K e y > T a b l e s \ D a t o s 1 \ C o l u m n s \ %   V a r   r e a l   G a s t o   C o r r i e n t e   P r i m a r i o < / K e y > < / D i a g r a m O b j e c t K e y > < D i a g r a m O b j e c t K e y > < K e y > T a b l e s \ D a t o s 1 \ C o l u m n s \ %   V a r   r e a l   P r � s t a m o   d e   E n d e u d a m i e n t o   N e t o < / K e y > < / D i a g r a m O b j e c t K e y > < D i a g r a m O b j e c t K e y > < K e y > T a b l e s \ D a t o s 1 \ M e a s u r e s \ I n g r e s o   t o t a l < / K e y > < / D i a g r a m O b j e c t K e y > < D i a g r a m O b j e c t K e y > < K e y > T a b l e s \ D a t o s 1 \ M e a s u r e s \ I n g r e s o   p e r i o d o   a n t e r i o r < / K e y > < / D i a g r a m O b j e c t K e y > < D i a g r a m O b j e c t K e y > < K e y > T a b l e s \ D a t o s 1 \ M e a s u r e s \ R e s t o < / K e y > < / D i a g r a m O b j e c t K e y > < D i a g r a m O b j e c t K e y > < K e y > T a b l e s \ D a t o s 1 \ M e a s u r e s \ S S P P / I n g r e s o s   T r i b u a r i o s < / K e y > < / D i a g r a m O b j e c t K e y > < D i a g r a m O b j e c t K e y > < K e y > T a b l e s \ D a t o s 1 \ M e a s u r e s \ %   V a r   i n g r e s o   t o t a l < / K e y > < / D i a g r a m O b j e c t K e y > < D i a g r a m O b j e c t K e y > < K e y > T a b l e s \ D a t o s 1 \ M e a s u r e s \ S u m a   d e   I n g r e s o   T o t a l   ( R e c a u d a d o ) < / K e y > < / D i a g r a m O b j e c t K e y > < D i a g r a m O b j e c t K e y > < K e y > T a b l e s \ D a t o s 1 \ S u m a   d e   I n g r e s o   T o t a l   ( R e c a u d a d o ) \ A d d i t i o n a l   I n f o \ M e d i d a   i m p l � c i t a < / K e y > < / D i a g r a m O b j e c t K e y > < D i a g r a m O b j e c t K e y > < K e y > T a b l e s \ D a t o s 1 \ M e a s u r e s \ S u m a   d e   I n g r e s o s   T r i b u t a r i o s < / K e y > < / D i a g r a m O b j e c t K e y > < D i a g r a m O b j e c t K e y > < K e y > T a b l e s \ D a t o s 1 \ S u m a   d e   I n g r e s o s   T r i b u t a r i o s \ A d d i t i o n a l   I n f o \ M e d i d a   i m p l � c i t a < / K e y > < / D i a g r a m O b j e c t K e y > < D i a g r a m O b j e c t K e y > < K e y > T a b l e s \ D a t o s 1 \ M e a s u r e s \ S u m a   d e   B i n a c i o n a l e s < / K e y > < / D i a g r a m O b j e c t K e y > < D i a g r a m O b j e c t K e y > < K e y > T a b l e s \ D a t o s 1 \ S u m a   d e   B i n a c i o n a l e s \ A d d i t i o n a l   I n f o \ M e d i d a   i m p l � c i t a < / K e y > < / D i a g r a m O b j e c t K e y > < D i a g r a m O b j e c t K e y > < K e y > T a b l e s \ D a t o s 1 \ M e a s u r e s \ S u m a   d e   P r e s i � n   T r i b u t a r i a < / K e y > < / D i a g r a m O b j e c t K e y > < D i a g r a m O b j e c t K e y > < K e y > T a b l e s \ D a t o s 1 \ S u m a   d e   P r e s i � n   T r i b u t a r i a \ A d d i t i o n a l   I n f o \ M e d i d a   i m p l � c i t a < / K e y > < / D i a g r a m O b j e c t K e y > < D i a g r a m O b j e c t K e y > < K e y > T a b l e s \ D a t o s 1 \ M e a s u r e s \ S u m a   d e   S E T < / K e y > < / D i a g r a m O b j e c t K e y > < D i a g r a m O b j e c t K e y > < K e y > T a b l e s \ D a t o s 1 \ S u m a   d e   S E T \ A d d i t i o n a l   I n f o \ M e d i d a   i m p l � c i t a < / K e y > < / D i a g r a m O b j e c t K e y > < D i a g r a m O b j e c t K e y > < K e y > T a b l e s \ D a t o s 1 \ M e a s u r e s \ S u m a   d e   D N A < / K e y > < / D i a g r a m O b j e c t K e y > < D i a g r a m O b j e c t K e y > < K e y > T a b l e s \ D a t o s 1 \ S u m a   d e   D N A \ A d d i t i o n a l   I n f o \ M e d i d a   i m p l � c i t a < / K e y > < / D i a g r a m O b j e c t K e y > < D i a g r a m O b j e c t K e y > < K e y > T a b l e s \ D a t o s 1 \ M e a s u r e s \ S u m a   d e   %   V a r .   A n u a l i z a d o   S E T < / K e y > < / D i a g r a m O b j e c t K e y > < D i a g r a m O b j e c t K e y > < K e y > T a b l e s \ D a t o s 1 \ S u m a   d e   %   V a r .   A n u a l i z a d o   S E T \ A d d i t i o n a l   I n f o \ M e d i d a   i m p l � c i t a < / K e y > < / D i a g r a m O b j e c t K e y > < D i a g r a m O b j e c t K e y > < K e y > T a b l e s \ D a t o s 1 \ M e a s u r e s \ S u m a   d e   %   V a r .   A n u a l i z a d o   D N A < / K e y > < / D i a g r a m O b j e c t K e y > < D i a g r a m O b j e c t K e y > < K e y > T a b l e s \ D a t o s 1 \ S u m a   d e   %   V a r .   A n u a l i z a d o   D N A \ A d d i t i o n a l   I n f o \ M e d i d a   i m p l � c i t a < / K e y > < / D i a g r a m O b j e c t K e y > < D i a g r a m O b j e c t K e y > < K e y > T a b l e s \ D a t o s 1 \ M e a s u r e s \ S u m a   d e   I t a i p �   ( m i l l o n e s   d e   U S $ ) < / K e y > < / D i a g r a m O b j e c t K e y > < D i a g r a m O b j e c t K e y > < K e y > T a b l e s \ D a t o s 1 \ S u m a   d e   I t a i p �   ( m i l l o n e s   d e   U S $ ) \ A d d i t i o n a l   I n f o \ M e d i d a   i m p l � c i t a < / K e y > < / D i a g r a m O b j e c t K e y > < D i a g r a m O b j e c t K e y > < K e y > T a b l e s \ D a t o s 1 \ M e a s u r e s \ S u m a   d e   Y a c y r e t �   ( e n   m i l l o n e s   d e   U S $ ) < / K e y > < / D i a g r a m O b j e c t K e y > < D i a g r a m O b j e c t K e y > < K e y > T a b l e s \ D a t o s 1 \ S u m a   d e   Y a c y r e t �   ( e n   m i l l o n e s   d e   U S $ ) \ A d d i t i o n a l   I n f o \ M e d i d a   i m p l � c i t a < / K e y > < / D i a g r a m O b j e c t K e y > < D i a g r a m O b j e c t K e y > < K e y > T a b l e s \ D a t o s 1 \ M e a s u r e s \ S u m a   d e   G a s t o   T o t a l   ( O b l i g a d o ) < / K e y > < / D i a g r a m O b j e c t K e y > < D i a g r a m O b j e c t K e y > < K e y > T a b l e s \ D a t o s 1 \ S u m a   d e   G a s t o   T o t a l   ( O b l i g a d o ) \ A d d i t i o n a l   I n f o \ M e d i d a   i m p l � c i t a < / K e y > < / D i a g r a m O b j e c t K e y > < D i a g r a m O b j e c t K e y > < K e y > T a b l e s \ D a t o s 1 \ M e a s u r e s \ S u m a   d e   R e m u n e r a c i � n   a   l o s   E m p l e a d o s < / K e y > < / D i a g r a m O b j e c t K e y > < D i a g r a m O b j e c t K e y > < K e y > T a b l e s \ D a t o s 1 \ S u m a   d e   R e m u n e r a c i � n   a   l o s   E m p l e a d o s \ A d d i t i o n a l   I n f o \ M e d i d a   i m p l � c i t a < / K e y > < / D i a g r a m O b j e c t K e y > < D i a g r a m O b j e c t K e y > < K e y > T a b l e s \ D a t o s 1 \ M e a s u r e s \ S u m a   d e   U s o   d e   B i e n e s   y   S e r v i c i o s < / K e y > < / D i a g r a m O b j e c t K e y > < D i a g r a m O b j e c t K e y > < K e y > T a b l e s \ D a t o s 1 \ S u m a   d e   U s o   d e   B i e n e s   y   S e r v i c i o s \ A d d i t i o n a l   I n f o \ M e d i d a   i m p l � c i t a < / K e y > < / D i a g r a m O b j e c t K e y > < D i a g r a m O b j e c t K e y > < K e y > T a b l e s \ D a t o s 1 \ M e a s u r e s \ S u m a   d e   I n t e r e s e s < / K e y > < / D i a g r a m O b j e c t K e y > < D i a g r a m O b j e c t K e y > < K e y > T a b l e s \ D a t o s 1 \ S u m a   d e   I n t e r e s e s \ A d d i t i o n a l   I n f o \ M e d i d a   i m p l � c i t a < / K e y > < / D i a g r a m O b j e c t K e y > < D i a g r a m O b j e c t K e y > < K e y > T a b l e s \ D a t o s 1 \ M e a s u r e s \ S u m a   d e   D o n a c i o n e s   ( G a s t o ) < / K e y > < / D i a g r a m O b j e c t K e y > < D i a g r a m O b j e c t K e y > < K e y > T a b l e s \ D a t o s 1 \ S u m a   d e   D o n a c i o n e s   ( G a s t o ) \ A d d i t i o n a l   I n f o \ M e d i d a   i m p l � c i t a < / K e y > < / D i a g r a m O b j e c t K e y > < D i a g r a m O b j e c t K e y > < K e y > T a b l e s \ D a t o s 1 \ M e a s u r e s \ S u m a   d e   P r e s t a c i o n e s   S o c i a l e s < / K e y > < / D i a g r a m O b j e c t K e y > < D i a g r a m O b j e c t K e y > < K e y > T a b l e s \ D a t o s 1 \ S u m a   d e   P r e s t a c i o n e s   S o c i a l e s \ A d d i t i o n a l   I n f o \ M e d i d a   i m p l � c i t a < / K e y > < / D i a g r a m O b j e c t K e y > < D i a g r a m O b j e c t K e y > < K e y > T a b l e s \ D a t o s 1 \ M e a s u r e s \ S u m a   d e   O t r o s   G a s t o s < / K e y > < / D i a g r a m O b j e c t K e y > < D i a g r a m O b j e c t K e y > < K e y > T a b l e s \ D a t o s 1 \ S u m a   d e   O t r o s   G a s t o s \ A d d i t i o n a l   I n f o \ M e d i d a   i m p l � c i t a < / K e y > < / D i a g r a m O b j e c t K e y > < D i a g r a m O b j e c t K e y > < K e y > T a b l e s \ D a t o s 1 \ M e a s u r e s \ S u m a   d e   R O N   ( %   d e l   P I B ) < / K e y > < / D i a g r a m O b j e c t K e y > < D i a g r a m O b j e c t K e y > < K e y > T a b l e s \ D a t o s 1 \ S u m a   d e   R O N   ( %   d e l   P I B ) \ A d d i t i o n a l   I n f o \ M e d i d a   i m p l � c i t a < / K e y > < / D i a g r a m O b j e c t K e y > < D i a g r a m O b j e c t K e y > < K e y > T a b l e s \ D a t o s 1 \ M e a s u r e s \ S u m a   d e   M O P C   ( m m   U S $ ) < / K e y > < / D i a g r a m O b j e c t K e y > < D i a g r a m O b j e c t K e y > < K e y > T a b l e s \ D a t o s 1 \ S u m a   d e   M O P C   ( m m   U S $ ) \ A d d i t i o n a l   I n f o \ M e d i d a   i m p l � c i t a < / K e y > < / D i a g r a m O b j e c t K e y > < D i a g r a m O b j e c t K e y > < K e y > T a b l e s \ D a t o s 1 \ M e a s u r e s \ S u m a   d e   O t r a s   e n t i d a d e s   ( m m   U S $ ) < / K e y > < / D i a g r a m O b j e c t K e y > < D i a g r a m O b j e c t K e y > < K e y > T a b l e s \ D a t o s 1 \ S u m a   d e   O t r a s   e n t i d a d e s   ( m m   U S $ ) \ A d d i t i o n a l   I n f o \ M e d i d a   i m p l � c i t a < / K e y > < / D i a g r a m O b j e c t K e y > < D i a g r a m O b j e c t K e y > < K e y > T a b l e s \ D a t o s 1 \ M e a s u r e s \ S u m a   d e   A N A N F   ( m m   U S $ ) < / K e y > < / D i a g r a m O b j e c t K e y > < D i a g r a m O b j e c t K e y > < K e y > T a b l e s \ D a t o s 1 \ S u m a   d e   A N A N F   ( m m   U S $ ) \ A d d i t i o n a l   I n f o \ M e d i d a   i m p l � c i t a < / K e y > < / D i a g r a m O b j e c t K e y > < D i a g r a m O b j e c t K e y > < K e y > T a b l e s \ D a t o s 1 \ M e a s u r e s \ S u m a   d e   R e s u l t a d o   F i s c a l   ( %   d e l   P I B ) < / K e y > < / D i a g r a m O b j e c t K e y > < D i a g r a m O b j e c t K e y > < K e y > T a b l e s \ D a t o s 1 \ S u m a   d e   R e s u l t a d o   F i s c a l   ( %   d e l   P I B ) \ A d d i t i o n a l   I n f o \ M e d i d a   i m p l � c i t a < / K e y > < / D i a g r a m O b j e c t K e y > < D i a g r a m O b j e c t K e y > < K e y > T a b l e s \ D a t o s 1 \ M e a s u r e s \ S u m a   d e   S S P P   f i n a n c i a d o s   c o n   I n g r e s o s   T r i b u t a r i o s < / K e y > < / D i a g r a m O b j e c t K e y > < D i a g r a m O b j e c t K e y > < K e y > T a b l e s \ D a t o s 1 \ S u m a   d e   S S P P   f i n a n c i a d o s   c o n   I n g r e s o s   T r i b u t a r i o s \ A d d i t i o n a l   I n f o \ M e d i d a   i m p l � c i t a < / K e y > < / D i a g r a m O b j e c t K e y > < D i a g r a m O b j e c t K e y > < K e y > T a b l e s \ D a t o s 1 \ M e a s u r e s \ S u m a   d e   R e s u l t a d o   f i s c a l   p r i m a r i o   ( %   d e l   P I B ) < / K e y > < / D i a g r a m O b j e c t K e y > < D i a g r a m O b j e c t K e y > < K e y > T a b l e s \ D a t o s 1 \ S u m a   d e   R e s u l t a d o   f i s c a l   p r i m a r i o   ( %   d e l   P I B ) \ A d d i t i o n a l   I n f o \ M e d i d a   i m p l � c i t a < / K e y > < / D i a g r a m O b j e c t K e y > < D i a g r a m O b j e c t K e y > < K e y > T a b l e s \ D a t o s 1 \ M e a s u r e s \ S u m a   d e   R O N   a n u a l i z a d o   ( %   d e l   P I B ) < / K e y > < / D i a g r a m O b j e c t K e y > < D i a g r a m O b j e c t K e y > < K e y > T a b l e s \ D a t o s 1 \ S u m a   d e   R O N   a n u a l i z a d o   ( %   d e l   P I B ) \ A d d i t i o n a l   I n f o \ M e d i d a   i m p l � c i t a < / K e y > < / D i a g r a m O b j e c t K e y > < D i a g r a m O b j e c t K e y > < K e y > T a b l e s \ D a t o s 1 \ M e a s u r e s \ S u m a   d e   A N A N F   a n u a l i z a d o   ( %   d e l   P I B ) < / K e y > < / D i a g r a m O b j e c t K e y > < D i a g r a m O b j e c t K e y > < K e y > T a b l e s \ D a t o s 1 \ S u m a   d e   A N A N F   a n u a l i z a d o   ( %   d e l   P I B ) \ A d d i t i o n a l   I n f o \ M e d i d a   i m p l � c i t a < / K e y > < / D i a g r a m O b j e c t K e y > < D i a g r a m O b j e c t K e y > < K e y > T a b l e s \ D a t o s 1 \ M e a s u r e s \ S u m a   d e   R e s u l t a d o   f i s c a l   a n u a l i z a d o   ( %   d e l   P I B ) < / K e y > < / D i a g r a m O b j e c t K e y > < D i a g r a m O b j e c t K e y > < K e y > T a b l e s \ D a t o s 1 \ S u m a   d e   R e s u l t a d o   f i s c a l   a n u a l i z a d o   ( %   d e l   P I B ) \ A d d i t i o n a l   I n f o \ M e d i d a   i m p l � c i t a < / K e y > < / D i a g r a m O b j e c t K e y > < D i a g r a m O b j e c t K e y > < K e y > T a b l e s \ D a t o s 1 \ M e a s u r e s \ S u m a   d e   A N A N F   ( %   d e l   P I B ) < / K e y > < / D i a g r a m O b j e c t K e y > < D i a g r a m O b j e c t K e y > < K e y > T a b l e s \ D a t o s 1 \ S u m a   d e   A N A N F   ( %   d e l   P I B ) \ A d d i t i o n a l   I n f o \ M e d i d a   i m p l � c i t a < / K e y > < / D i a g r a m O b j e c t K e y > < D i a g r a m O b j e c t K e y > < K e y > T a b l e s \ D a t o s 1 \ M e a s u r e s \ S u m a   d e   I T   S u m a   1 2   m e s e s < / K e y > < / D i a g r a m O b j e c t K e y > < D i a g r a m O b j e c t K e y > < K e y > T a b l e s \ D a t o s 1 \ S u m a   d e   I T   S u m a   1 2   m e s e s \ A d d i t i o n a l   I n f o \ M e d i d a   i m p l � c i t a < / K e y > < / D i a g r a m O b j e c t K e y > < D i a g r a m O b j e c t K e y > < K e y > T a b l e s \ C a l e n d a r i o < / K e y > < / D i a g r a m O b j e c t K e y > < D i a g r a m O b j e c t K e y > < K e y > T a b l e s \ C a l e n d a r i o \ C o l u m n s \ D a t e 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 T a b l e s \ C a l e n d a r i o \ C o l u m n s \ N � m e r o   d e   m e s 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 T a b l e s \ C a l e n d a r i o \ C o l u m n s \ M M M - A A A A < / K e y > < / D i a g r a m O b j e c t K e y > < D i a g r a m O b j e c t K e y > < K e y > T a b l e s \ C a l e n d a r i o \ C o l u m n s \ N � m e r o   d e   d � a   d e   l a   s e m a n a < / K e y > < / D i a g r a m O b j e c t K e y > < D i a g r a m O b j e c t K e y > < K e y > T a b l e s \ C a l e n d a r i o \ C o l u m n s \ D � a   d e   l a   s e m a n a < / K e y > < / D i a g r a m O b j e c t K e y > < D i a g r a m O b j e c t K e y > < K e y > T a b l e s \ C a l e n d a r i o \ H i e r a r c h i e s \ J e r a r q u � a   d e   f e c h a s < / K e y > < / D i a g r a m O b j e c t K e y > < D i a g r a m O b j e c t K e y > < K e y > T a b l e s \ C a l e n d a r i o \ H i e r a r c h i e s \ J e r a r q u � a   d e   f e c h a s \ L e v e l s \ A � o < / K e y > < / D i a g r a m O b j e c t K e y > < D i a g r a m O b j e c t K e y > < K e y > T a b l e s \ C a l e n d a r i o \ H i e r a r c h i e s \ J e r a r q u � a   d e   f e c h a s \ L e v e l s \ M e s < / K e y > < / D i a g r a m O b j e c t K e y > < D i a g r a m O b j e c t K e y > < K e y > T a b l e s \ C a l e n d a r i o \ H i e r a r c h i e s \ J e r a r q u � a   d e   f e c h a s \ L e v e l s \ D a t e C o l u m n < / K e y > < / D i a g r a m O b j e c t K e y > < D i a g r a m O b j e c t K e y > < K e y > T a b l e s \ M e s e s < / K e y > < / D i a g r a m O b j e c t K e y > < D i a g r a m O b j e c t K e y > < K e y > T a b l e s \ T a b l a 2 \ C o l u m n s \ N r o . < / K e y > < / D i a g r a m O b j e c t K e y > < D i a g r a m O b j e c t K e y > < K e y > T a b l e s \ T a b l a 2 \ C o l u m n s \ M e s < / K e y > < / D i a g r a m O b j e c t K e y > < D i a g r a m O b j e c t K e y > < K e y > R e l a t i o n s h i p s \ & l t ; T a b l e s \ D a t o s 1 \ C o l u m n s \ P e r i o d o & g t ; - & l t ; T a b l e s \ C a l e n d a r i o \ C o l u m n s \ D a t e & g t ; < / K e y > < / D i a g r a m O b j e c t K e y > < D i a g r a m O b j e c t K e y > < K e y > R e l a t i o n s h i p s \ & l t ; T a b l e s \ D a t o s 1 \ C o l u m n s \ P e r i o d o & g t ; - & l t ; T a b l e s \ C a l e n d a r i o \ C o l u m n s \ D a t e & g t ; \ F K < / K e y > < / D i a g r a m O b j e c t K e y > < D i a g r a m O b j e c t K e y > < K e y > R e l a t i o n s h i p s \ & l t ; T a b l e s \ D a t o s 1 \ C o l u m n s \ P e r i o d o & g t ; - & l t ; T a b l e s \ C a l e n d a r i o \ C o l u m n s \ D a t e & g t ; \ P K < / K e y > < / D i a g r a m O b j e c t K e y > < D i a g r a m O b j e c t K e y > < K e y > R e l a t i o n s h i p s \ & l t ; T a b l e s \ D a t o s 1 \ C o l u m n s \ P e r i o d o & g t ; - & l t ; T a b l e s \ C a l e n d a r i o \ C o l u m n s \ D a t e & g t ; \ C r o s s F i l t e r < / K e y > < / D i a g r a m O b j e c t K e y > < D i a g r a m O b j e c t K e y > < K e y > R e l a t i o n s h i p s \ & l t ; T a b l e s \ C a l e n d a r i o \ C o l u m n s \ N � m e r o   d e   m e s & g t ; - & l t ; T a b l e s \ M e s e s \ C o l u m n s \ N r o . & g t ; < / K e y > < / D i a g r a m O b j e c t K e y > < D i a g r a m O b j e c t K e y > < K e y > R e l a t i o n s h i p s \ & l t ; T a b l e s \ C a l e n d a r i o \ C o l u m n s \ N � m e r o   d e   m e s & g t ; - & l t ; T a b l e s \ M e s e s \ C o l u m n s \ N r o . & g t ; \ F K < / K e y > < / D i a g r a m O b j e c t K e y > < D i a g r a m O b j e c t K e y > < K e y > R e l a t i o n s h i p s \ & l t ; T a b l e s \ C a l e n d a r i o \ C o l u m n s \ N � m e r o   d e   m e s & g t ; - & l t ; T a b l e s \ M e s e s \ C o l u m n s \ N r o . & g t ; \ P K < / K e y > < / D i a g r a m O b j e c t K e y > < D i a g r a m O b j e c t K e y > < K e y > R e l a t i o n s h i p s \ & l t ; T a b l e s \ C a l e n d a r i o \ C o l u m n s \ N � m e r o   d e   m e s & g t ; - & l t ; T a b l e s \ M e s e s \ C o l u m n s \ N r o . & g t ; \ C r o s s F i l t e r < / K e y > < / D i a g r a m O b j e c t K e y > < / A l l K e y s > < S e l e c t e d K e y s > < D i a g r a m O b j e c t K e y > < K e y > R e l a t i o n s h i p s \ & l t ; T a b l e s \ C a l e n d a r i o \ C o l u m n s \ N � m e r o   d e   m e s & g t ; - & l t ; T a b l e s \ M e s e s \ C o l u m n s \ N r o . & g t ; 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 & l t ; T a b l e s \ C a l e n d a r i o \ H i e r a r c h i e s \ J e r a r q u � a   d e   f e c h a s & g t ; 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 T a g s \ T a b l e s \ & l t ; T a b l e s \ D a t o s 1 & g t ; 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 T a g s \ H i e r a r c h i e s \ & l t ; T a b l e s \ C a l e n d a r i o \ H i e r a r c h i e s \ J e r a r q u � a   d e   f e c h a s & g t ; 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 T a g s \ T a b l e s \ & l t ; T a b l e s \ M e s e s & g t ; 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 T a b l e s \ D a t o s 1 < / K e y > < / a : K e y > < a : V a l u e   i : t y p e = " D i a g r a m D i s p l a y N o d e V i e w S t a t e " > < H e i g h t > 3 3 5 . 9 9 9 9 9 9 9 9 9 9 9 9 9 4 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 T a b l e s \ D a t o s 1 \ C o l u m n s \ O r d e n 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 T a b l e s \ D a t o s 1 \ C o l u m n s \ P e r i o d o 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 T a b l e s \ D a t o s 1 \ C o l u m n s \ P I B   n o m i n a l   ( m i l e s   d e   m i l l o n e s   d e   G . ) 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 T a b l e s \ D a t o s 1 \ C o l u m n s \ T i p o   d e   c a m b i o   G s . / U S $ 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 T a b l e s \ D a t o s 1 \ C o l u m n s \ I n g r e s o   T o t a l   ( R e c a u d a d o ) 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 T a b l e s \ D a t o s 1 \ C o l u m n s \ I n g r e s o   T o t a l 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 T a b l e s \ D a t o s 1 \ C o l u m n s \ I T   a c u m u l a d o 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 T a b l e s \ D a t o s 1 \ C o l u m n s \ I T 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 a c u m   I n g r e s o 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 i n t e r a n u a l 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 T a b l e s \ D a t o s 1 \ C o l u m n s \ I n g r e s o s 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 T a b l e s \ D a t o s 1 \ C o l u m n s \ P r e s i � n   T r i b u t a r i a 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 T a b l e s \ D a t o s 1 \ C o l u m n s \ T r i b u t a r i o s   A c u m . 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 T a b l e s \ D a t o s 1 \ C o l u m n s \ T r i b u t a r i o s 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 I n t e r a n u a l 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 A c u m . 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 S u m a   1 2 m 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 T a b l e s \ D a t o s 1 \ C o l u m n s \ S E T 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 A n u a l i z a d o  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 T a b l e s \ D a t o s 1 \ C o l u m n s \ D N A 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 A n u a l i z a d o   D N A 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 T a b l e s \ D a t o s 1 \ C o l u m n s \ C o n t r i b u c i o n e s   S o c i a l e s 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 T a b l e s \ D a t o s 1 \ C o l u m n s \ C o n t r i b u c i o n e s   S o c i a l e s 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 T a b l e s \ D a t o s 1 \ C o l u m n s \ D o n a c i o n e s 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 T a b l e s \ D a t o s 1 \ C o l u m n s \ D o n a c i o n e s 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 T a b l e s \ D a t o s 1 \ C o l u m n s \ D e   G o b i e r n o s   E x t r a n j e r o s 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 T a b l e s \ D a t o s 1 \ C o l u m n s \ D e   O r g a n i s m o s   I n t e r n a c i o n a l e s 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 T a b l e s \ D a t o s 1 \ C o l u m n s \ D e   o t r a s   u n i d a d e s   d e   G o b i e r n o   G e n e r a l 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 T a b l e s \ D a t o s 1 \ C o l u m n s \ O t r o s   I n g r e s o s 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 T a b l e s \ D a t o s 1 \ C o l u m n s \ O t r o s   i n g r e s o s   ( m i l l o n e s 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 T a b l e s \ D a t o s 1 \ C o l u m n s \ I t a i p � 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 T a b l e s \ D a t o s 1 \ C o l u m n s \ I t a i p �   ( m i l l o n e s 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 T a b l e s \ D a t o s 1 \ C o l u m n s \ I t a i p �   a c u m u l a d o   p o r   a � o   ( m i l l o n e s 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 T a b l e s \ D a t o s 1 \ C o l u m n s \ Y a c y r e t � 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 T a b l e s \ D a t o s 1 \ C o l u m n s \ Y a c y r e t �   ( e n  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 T a b l e s \ D a t o s 1 \ C o l u m n s \ Y a c y r e t �   a c u m u l a d o   p o r   a � o   ( m i l l o n e s 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 T a b l e s \ D a t o s 1 \ C o l u m n s \ O t r o s   I n g r . 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 T o t a l   ( O b l i g a d o ) 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 T o t a l 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 t o t a l   a c u m u l a d o 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 T o t a l 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 i n t e r a n u a l   g a s t o 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 a c u m u l a d o   g a s t o 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 A n u a l i z a d o   G T 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 T a b l e s \ D a t o s 1 \ C o l u m n s \ R e m u n e r a c i � n   a   l o s   E m p l e a d o s 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 T a b l e s \ D a t o s 1 \ C o l u m n s \ R e m u n .   A c u m . 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 T a b l e s \ D a t o s 1 \ C o l u m n s \ R e m u n . 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 I n t e r a n u a l   R e m u n . 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 A c u m u l a d o   R e m u n . 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 V a r .   A n u a l i z a d o   R e m u n . 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 T a b l e s \ D a t o s 1 \ C o l u m n s \ S u e l d o s 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 T a b l e s \ D a t o s 1 \ C o l u m n s \ O t r a s   r e m u n e r a c i o n e s 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 T a b l e s \ D a t o s 1 \ C o l u m n s \ U s o   d e   B i e n e s   y   S e r v i c i o s 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 T a b l e s \ D a t o s 1 \ C o l u m n s \ S e r v i c i o s   n o   P e r s o n a l e s 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 T a b l e s \ D a t o s 1 \ C o l u m n s \ B i e n e s   d e   C o n s u m o 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 T a b l e s \ D a t o s 1 \ C o l u m n s \ C o m i s i o n e s 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 T a b l e s \ D a t o s 1 \ C o l u m n s \ O t r o s   U s o s   d e   B i e n e s   y   S e r v i c i o s 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 T a b l e s \ D a t o s 1 \ C o l u m n s \ I n t e r e s e s 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 T a b l e s \ D a t o s 1 \ C o l u m n s \ I n t e r e s e s   ( m i l l o n e s 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 T a b l e s \ D a t o s 1 \ C o l u m n s \ D o n a c i o n e s   ( G a s t o ) 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  O r g a n i s m o s   I n t e r n a c i o n a l e s 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  O t r a s   U n i d a d e s   d e   G o b i e r n o   G e n e r a l 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 T a b l e s \ D a t o s 1 \ C o l u m n s \ P r e s t a c i o n e s   S o c i a l e s 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 T a b l e s \ D a t o s 1 \ C o l u m n s \ O t r o s   G a s t o s 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 O p e r a t i v o   N e t o 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 T a b l e s \ D a t o s 1 \ C o l u m n s \ R O N   a c u m u l a d o 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 T a b l e s \ D a t o s 1 \ C o l u m n s \ R O N   a c u m u l a d o 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 i n t e r a n u a l   R O N 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 a c u m u l a d o   R O N 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 a n u a l i z a d o 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 T a b l e s \ D a t o s 1 \ C o l u m n s \ R O N 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 T a b l e s \ D a t o s 1 \ C o l u m n s \ R O N   a n u a l i z a d o 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 T a b l e s \ D a t o s 1 \ C o l u m n s \ A d q u i s i c i � n   N e t a   d e   A c t i v o s   n o   F i n a n c i e r o s 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 T a b l e s \ D a t o s 1 \ C o l u m n s \ A N A N F   a c u m u l a d o 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 T a b l e s \ D a t o s 1 \ C o l u m n s \ A N A N F   a c u m u l a d o 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 i n t e r a n u a l   A N A N F 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 a c u m u l a d o   p o r   a � o   A N A N F 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 a n u a l i z a d o   A N A N F 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 T a b l e s \ D a t o s 1 \ C o l u m n s \ A N A N F   ( m m 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 T a b l e s \ D a t o s 1 \ C o l u m n s \ A N A N F 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 T a b l e s \ D a t o s 1 \ C o l u m n s \ A N A N F   a c u m .   P o r   a � o 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 T a b l e s \ D a t o s 1 \ C o l u m n s \ A N A N F   a n u a l i z a d o 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 T a b l e s \ D a t o s 1 \ C o l u m n s \ M O P C 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 T a b l e s \ D a t o s 1 \ C o l u m n s \ M O P C   ( m m 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 T a b l e s \ D a t o s 1 \ C o l u m n s \ O t r a s   e n t i d a d e s 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 T a b l e s \ D a t o s 1 \ C o l u m n s \ O t r a s   e n t i d a d e s   ( m m 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 ( m i l e s   d e   m i l l o n e s   d e   G . ) 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 a c u m u l a d o   p o r  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 a n u a l i z a d o 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 i n t e r a n u a l   R e s u l t a d o   F i s c a l 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 a c u m u l a d o   R e s u l t a d o   F i s c a l 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 a n u a l i z a d o   R e s u l t a d o   F i s c a l 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 a n u a l i z a d o 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 T a b l e s \ D a t o s 1 \ C o l u m n s \ S S P P   f i n a n c i a d o s   c o n   I n g r e s o s 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 T a b l e s \ D a t o s 1 \ C o l u m n s \ B i n a c i o n a l e s 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 p r i m a r i o 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 T a b l e s \ D a t o s 1 \ C o l u m n s \ R e s u l t a d o   f i s c a l   p r i m a r i o 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 T a b l e s \ D a t o s 1 \ C o l u m n s \ I n g r e s o   T o t a l   R e c a u d a d o 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 T a b l e s \ D a t o s 1 \ C o l u m n s \ I n g r e s o s   T r i b u t a r i o s   d e f l a c t a d o s 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 T o t a l   O b l i g a d o 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 +   I n v e r s i � n   R e a l 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 T a b l e s \ D a t o s 1 \ C o l u m n s \ R e m u n e r a c i � n   E m p l e a d o s 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 T a b l e s \ D a t o s 1 \ C o l u m n s \ I n t e r e s e s   d e f l a c t a d o s 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 T a b l e s \ D a t o s 1 \ C o l u m n s \ A d q u i s i c i � n   N e t a   d e   A c t i v o s   n o   F i n a n c i e r o s   d e f l a c t a d o s 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 T a b l e s \ D a t o s 1 \ C o l u m n s \ G a s t o   C o r r i e n t e   P r i m a r i o 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 T a b l e s \ D a t o s 1 \ C o l u m n s \ P r � s t a m o   d e   E n d e u d a m i e n t o   N e t o 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 I n g r e s o   T o t a l   R e c a u d a d o 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 I n g r e s o s   T r i b u t a r i o s   d e f l a c t a d o s 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 G a s t o   T o t a l   O b l i g a d o 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 G a s t o   +   I n v e r s i � n   R e a l   d e f l a c t a d o 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 T a b l e s \ D a t o s 1 \ C o l u m n s \ & a m p ;   V a r   r e a l   R e m u n e r a c i � n   E m p l e a d o s 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 I n t e r e s e s 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 A d q u i s i c i � n   N e t a   d e   A c t i v o s   n o   F i n a n c i e r o s 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 G a s t o   C o r r i e n t e   P r i m a r i o 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 T a b l e s \ D a t o s 1 \ C o l u m n s \ %   V a r   r e a l   P r � s t a m o   d e   E n d e u d a m i e n t o   N e t o 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 T a b l e s \ D a t o s 1 \ M e a s u r e s \ I n g r e s o 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 T a b l e s \ D a t o s 1 \ M e a s u r e s \ I n g r e s o   p e r i o d o   a n t e r i o r 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 T a b l e s \ D a t o s 1 \ M e a s u r e s \ R e s t o 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 T a b l e s \ D a t o s 1 \ M e a s u r e s \ S S P P / I n g r e s o s   T r i b u a r i o s 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 T a b l e s \ D a t o s 1 \ M e a s u r e s \ %   V a r   i n g r e s o 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 T a b l e s \ D a t o s 1 \ M e a s u r e s \ S u m a   d e   I n g r e s o   T o t a l   ( R e c a u d a d o ) 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 I n g r e s o   T o t a l   ( R e c a u d a d o ) \ A d d i t i o n a l 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 I n g r e s o s 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 I n g r e s o s   T r i b u t a r i o s \ A d d i t i o n a l 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 B i n a c i o n a l e s 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 B i n a c i o n a l e s \ A d d i t i o n a l 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 P r e s i � n   T r i b u t a r i a 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 P r e s i � n   T r i b u t a r i a \ A d d i t i o n a l 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 S E T \ A d d i t i o n a l 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 D N A 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 D N A \ A d d i t i o n a l 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 %   V a r .   A n u a l i z a d o  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 %   V a r .   A n u a l i z a d o   S E T \ A d d i t i o n a l 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 %   V a r .   A n u a l i z a d o   D N A 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 %   V a r .   A n u a l i z a d o   D N A \ A d d i t i o n a l 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 I t a i p �   ( m i l l o n e s 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 I t a i p �   ( m i l l o n e s   d e   U S $ ) \ A d d i t i o n a l 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 Y a c y r e t �   ( e n   m i l l o n e s   d e 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 Y a c y r e t �   ( e n   m i l l o n e s   d e   U S $ ) \ A d d i t i o n a l 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 G a s t o   T o t a l   ( O b l i g a d o ) 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 G a s t o   T o t a l   ( O b l i g a d o ) \ A d d i t i o n a l 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 R e m u n e r a c i � n   a   l o s   E m p l e a d o s 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 R e m u n e r a c i � n   a   l o s   E m p l e a d o s \ A d d i t i o n a l 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 U s o   d e   B i e n e s   y   S e r v i c i o s 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 U s o   d e   B i e n e s   y   S e r v i c i o s \ A d d i t i o n a l 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 I n t e r e s e s 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 I n t e r e s e s \ A d d i t i o n a l 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 D o n a c i o n e s   ( G a s t o ) 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 D o n a c i o n e s   ( G a s t o ) \ A d d i t i o n a l 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 P r e s t a c i o n e s   S o c i a l e s 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 P r e s t a c i o n e s   S o c i a l e s \ A d d i t i o n a l 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 O t r o s   G a s t o s 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 O t r o s   G a s t o s \ A d d i t i o n a l 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 R O N 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 R O N 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 M O P C   ( m m 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 M O P C   ( m m   U S $ ) \ A d d i t i o n a l 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 O t r a s   e n t i d a d e s   ( m m 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 O t r a s   e n t i d a d e s   ( m m   U S $ ) \ A d d i t i o n a l 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 A N A N F   ( m m   U S $ ) 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 A N A N F   ( m m   U S $ ) \ A d d i t i o n a l 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 R e s u l t a d o   F i s c a l 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 R e s u l t a d o   F i s c a l 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 S S P P   f i n a n c i a d o s   c o n   I n g r e s o s   T r i b u t a r i o s 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 S S P P   f i n a n c i a d o s   c o n   I n g r e s o s   T r i b u t a r i o s \ A d d i t i o n a l 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 R e s u l t a d o   f i s c a l   p r i m a r i o 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 R e s u l t a d o   f i s c a l   p r i m a r i o 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 R O N   a n u a l i z a d o 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 R O N   a n u a l i z a d o 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 A N A N F   a n u a l i z a d o 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 A N A N F   a n u a l i z a d o 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 R e s u l t a d o   f i s c a l   a n u a l i z a d o 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 R e s u l t a d o   f i s c a l   a n u a l i z a d o 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 A N A N F   ( %   d e l   P I B ) 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 A N A N F   ( %   d e l   P I B ) \ A d d i t i o n a l 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 T a b l e s \ D a t o s 1 \ M e a s u r e s \ S u m a   d e   I T   S u m a   1 2   m e s e s 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 T a b l e s \ D a t o s 1 \ S u m a   d e   I T   S u m a   1 2   m e s e s \ A d d i t i o n a l 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 3 2 7 . 6 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 T a b l e s \ C a l e n d a r i o \ C o l u m n s \ M M M - A A A A 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 T a b l e s \ C a l e n d a r i o \ C o l u m n s \ N � m e r o   d e  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 T a b l e s \ C a l e n d a r i o \ C o l u m n s \ D � a   d e   l a   s e m a n a 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  d e   f e c h a s \ L e v e l s \ D a t e C o l u m n 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 T a b l e s \ M e s e s 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 3 2 7 . 1 0 3 8 1 0 5 6 7 6 6 5 8 5 < / L e f t > < T a b I n d e x > 2 < / T a b I n d e x > < T o p > 3 6 8 . 6 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 T a b l e s \ T a b l a 2 \ C o l u m n s \ N r o . 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 T a b l e s \ T a b l a 2 \ C o l u m n s \ M e s 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 R e l a t i o n s h i p s \ & l t ; T a b l e s \ D a t o s 1 \ C o l u m n s \ P e r i o d o & g t ; - & l t ; T a b l e s \ C a l e n d a r i o \ C o l u m n s \ D a t e & g t ; < / K e y > < / a : K e y > < a : V a l u e   i : t y p e = " D i a g r a m D i s p l a y L i n k V i e w S t a t e " > < A u t o m a t i o n P r o p e r t y H e l p e r T e x t > E x t r e m o   1 :   ( 2 1 6 , 1 7 5 , 9 ) .   E x t r e m o   2 :   ( 3 1 3 , 9 0 3 8 1 0 5 6 7 6 6 6 , 1 5 5 , 9 ) 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 1 7 5 . 9 < / b : _ y > < / b : P o i n t > < b : P o i n t > < b : _ x > 2 6 2 . 9 5 1 9 0 5 5 < / b : _ x > < b : _ y > 1 7 5 . 9 < / b : _ y > < / b : P o i n t > < b : P o i n t > < b : _ x > 2 6 4 . 9 5 1 9 0 5 5 < / b : _ x > < b : _ y > 1 7 3 . 9 < / b : _ y > < / b : P o i n t > < b : P o i n t > < b : _ x > 2 6 4 . 9 5 1 9 0 5 5 < / b : _ x > < b : _ y > 1 5 7 . 9 < / b : _ y > < / b : P o i n t > < b : P o i n t > < b : _ x > 2 6 6 . 9 5 1 9 0 5 5 < / b : _ x > < b : _ y > 1 5 5 . 9 < / b : _ y > < / b : P o i n t > < b : P o i n t > < b : _ x > 3 1 3 . 9 0 3 8 1 0 5 6 7 6 6 5 8 < / b : _ x > < b : _ y > 1 5 5 . 9 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 R e l a t i o n s h i p s \ & l t ; T a b l e s \ D a t o s 1 \ C o l u m n s \ P e r i o d o & g t ; - & l t ; T a b l e s \ C a l e n d a r i o \ C o l u m n s \ D a t e & g t ; \ F K 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 1 6 7 . 9 < / b : _ y > < / L a b e l L o c a t i o n > < L o c a t i o n   x m l n s : b = " h t t p : / / s c h e m a s . d a t a c o n t r a c t . o r g / 2 0 0 4 / 0 7 / S y s t e m . W i n d o w s " > < b : _ x > 2 0 0 < / b : _ x > < b : _ y > 1 7 5 . 9 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 R e l a t i o n s h i p s \ & l t ; T a b l e s \ D a t o s 1 \ C o l u m n s \ P e r i o d o & g t ; - & l t ; T a b l e s \ C a l e n d a r i o \ C o l u m n s \ D a t e & g t ; \ P K 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 1 4 7 . 9 < / b : _ y > < / L a b e l L o c a t i o n > < L o c a t i o n   x m l n s : b = " h t t p : / / s c h e m a s . d a t a c o n t r a c t . o r g / 2 0 0 4 / 0 7 / S y s t e m . W i n d o w s " > < b : _ x > 3 2 9 . 9 0 3 8 1 0 5 6 7 6 6 5 8 < / b : _ x > < b : _ y > 1 5 5 . 9 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 R e l a t i o n s h i p s \ & l t ; T a b l e s \ D a t o s 1 \ C o l u m n s \ P e r i o d o & g t ; - & l t ; T a b l e s \ C a l e n d a r i o \ C o l u m n s \ D a t e & g t ; \ C r o s s F i l t e r 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 1 7 5 . 9 < / b : _ y > < / b : P o i n t > < b : P o i n t > < b : _ x > 2 6 2 . 9 5 1 9 0 5 5 < / b : _ x > < b : _ y > 1 7 5 . 9 < / b : _ y > < / b : P o i n t > < b : P o i n t > < b : _ x > 2 6 4 . 9 5 1 9 0 5 5 < / b : _ x > < b : _ y > 1 7 3 . 9 < / b : _ y > < / b : P o i n t > < b : P o i n t > < b : _ x > 2 6 4 . 9 5 1 9 0 5 5 < / b : _ x > < b : _ y > 1 5 7 . 9 < / b : _ y > < / b : P o i n t > < b : P o i n t > < b : _ x > 2 6 6 . 9 5 1 9 0 5 5 < / b : _ x > < b : _ y > 1 5 5 . 9 < / b : _ y > < / b : P o i n t > < b : P o i n t > < b : _ x > 3 1 3 . 9 0 3 8 1 0 5 6 7 6 6 5 8 < / b : _ x > < b : _ y > 1 5 5 . 9 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 R e l a t i o n s h i p s \ & l t ; T a b l e s \ C a l e n d a r i o \ C o l u m n s \ N � m e r o   d e   m e s & g t ; - & l t ; T a b l e s \ M e s e s \ C o l u m n s \ N r o . & g t ; < / K e y > < / a : K e y > < a : V a l u e   i : t y p e = " D i a g r a m D i s p l a y L i n k V i e w S t a t e " > < A u t o m a t i o n P r o p e r t y H e l p e r T e x t > E x t r e m o   1 :   ( 4 2 9 , 9 0 3 8 1 1 , 3 4 3 , 6 ) .   E x t r e m o   2 :   ( 4 2 7 , 1 0 3 8 1 1 , 3 5 2 , 6 ) 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 4 2 9 . 9 0 3 8 1 1 < / b : _ x > < b : _ y > 3 4 3 . 6 < / b : _ y > < / b : P o i n t > < b : P o i n t > < b : _ x > 4 2 9 . 9 0 3 8 1 1 < / b : _ x > < b : _ y > 3 4 6 . 1 < / b : _ y > < / b : P o i n t > < b : P o i n t > < b : _ x > 4 2 7 . 1 0 3 8 1 1 0 0 0 0 0 0 0 6 < / b : _ x > < b : _ y > 3 5 0 . 1 < / b : _ y > < / b : P o i n t > < b : P o i n t > < b : _ x > 4 2 7 . 1 0 3 8 1 1 0 0 0 0 0 0 0 6 < / b : _ x > < b : _ y > 3 5 2 . 6 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 R e l a t i o n s h i p s \ & l t ; T a b l e s \ C a l e n d a r i o \ C o l u m n s \ N � m e r o   d e   m e s & g t ; - & l t ; T a b l e s \ M e s e s \ C o l u m n s \ N r o . & g t ; \ F K 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 4 2 1 . 9 0 3 8 1 1 < / b : _ x > < b : _ y > 3 2 7 . 6 < / b : _ y > < / L a b e l L o c a t i o n > < L o c a t i o n   x m l n s : b = " h t t p : / / s c h e m a s . d a t a c o n t r a c t . o r g / 2 0 0 4 / 0 7 / S y s t e m . W i n d o w s " > < b : _ x > 4 2 9 . 9 0 3 8 1 1 < / b : _ x > < b : _ y > 3 2 7 . 6 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 R e l a t i o n s h i p s \ & l t ; T a b l e s \ C a l e n d a r i o \ C o l u m n s \ N � m e r o   d e   m e s & g t ; - & l t ; T a b l e s \ M e s e s \ C o l u m n s \ N r o . & g t ; \ P K 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 4 1 9 . 1 0 3 8 1 1 0 0 0 0 0 0 0 6 < / b : _ x > < b : _ y > 3 5 2 . 6 < / b : _ y > < / L a b e l L o c a t i o n > < L o c a t i o n   x m l n s : b = " h t t p : / / s c h e m a s . d a t a c o n t r a c t . o r g / 2 0 0 4 / 0 7 / S y s t e m . W i n d o w s " > < b : _ x > 4 2 7 . 1 0 3 8 1 1 0 0 0 0 0 0 0 6 < / b : _ x > < b : _ y > 3 6 8 . 6 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 R e l a t i o n s h i p s \ & l t ; T a b l e s \ C a l e n d a r i o \ C o l u m n s \ N � m e r o   d e   m e s & g t ; - & l t ; T a b l e s \ M e s e s \ C o l u m n s \ N r o . & g t ; \ C r o s s F i l t e r 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 4 2 9 . 9 0 3 8 1 1 < / b : _ x > < b : _ y > 3 4 3 . 6 < / b : _ y > < / b : P o i n t > < b : P o i n t > < b : _ x > 4 2 9 . 9 0 3 8 1 1 < / b : _ x > < b : _ y > 3 4 6 . 1 < / b : _ y > < / b : P o i n t > < b : P o i n t > < b : _ x > 4 2 7 . 1 0 3 8 1 1 0 0 0 0 0 0 0 6 < / b : _ x > < b : _ y > 3 5 0 . 1 < / b : _ y > < / b : P o i n t > < b : P o i n t > < b : _ x > 4 2 7 . 1 0 3 8 1 1 0 0 0 0 0 0 0 6 < / b : _ x > < b : _ y > 3 5 2 . 6 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 D a t o s 1 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 D a t o s 1 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 M e a s u r e s \ I n g r e s o   t o t a l < / K e y > < / D i a g r a m O b j e c t K e y > < D i a g r a m O b j e c t K e y > < K e y > M e a s u r e s \ I n g r e s o   t o t a l \ T a g I n f o \ F � r m u l a < / K e y > < / D i a g r a m O b j e c t K e y > < D i a g r a m O b j e c t K e y > < K e y > M e a s u r e s \ I n g r e s o   t o t a l \ T a g I n f o \ V a l o r < / K e y > < / D i a g r a m O b j e c t K e y > < D i a g r a m O b j e c t K e y > < K e y > M e a s u r e s \ I n g r e s o   p e r i o d o   a n t e r i o r < / K e y > < / D i a g r a m O b j e c t K e y > < D i a g r a m O b j e c t K e y > < K e y > M e a s u r e s \ I n g r e s o   p e r i o d o   a n t e r i o r \ T a g I n f o \ F � r m u l a < / K e y > < / D i a g r a m O b j e c t K e y > < D i a g r a m O b j e c t K e y > < K e y > M e a s u r e s \ I n g r e s o   p e r i o d o   a n t e r i o r \ T a g I n f o \ V a l o r < / K e y > < / D i a g r a m O b j e c t K e y > < D i a g r a m O b j e c t K e y > < K e y > M e a s u r e s \ R e s t o < / K e y > < / D i a g r a m O b j e c t K e y > < D i a g r a m O b j e c t K e y > < K e y > M e a s u r e s \ R e s t o \ T a g I n f o \ F � r m u l a < / K e y > < / D i a g r a m O b j e c t K e y > < D i a g r a m O b j e c t K e y > < K e y > M e a s u r e s \ R e s t o \ T a g I n f o \ V a l o r < / K e y > < / D i a g r a m O b j e c t K e y > < D i a g r a m O b j e c t K e y > < K e y > M e a s u r e s \ S S P P / I n g r e s o s   T r i b u a r i o s < / K e y > < / D i a g r a m O b j e c t K e y > < D i a g r a m O b j e c t K e y > < K e y > M e a s u r e s \ S S P P / I n g r e s o s   T r i b u a r i o s \ T a g I n f o \ F � r m u l a < / K e y > < / D i a g r a m O b j e c t K e y > < D i a g r a m O b j e c t K e y > < K e y > M e a s u r e s \ S S P P / I n g r e s o s   T r i b u a r i o s \ T a g I n f o \ V a l o r < / K e y > < / D i a g r a m O b j e c t K e y > < D i a g r a m O b j e c t K e y > < K e y > M e a s u r e s \ %   V a r   i n g r e s o   t o t a l < / K e y > < / D i a g r a m O b j e c t K e y > < D i a g r a m O b j e c t K e y > < K e y > M e a s u r e s \ %   V a r   i n g r e s o   t o t a l \ T a g I n f o \ F � r m u l a < / K e y > < / D i a g r a m O b j e c t K e y > < D i a g r a m O b j e c t K e y > < K e y > M e a s u r e s \ %   V a r   i n g r e s o   t o t a l \ T a g I n f o \ V a l o r < / K e y > < / D i a g r a m O b j e c t K e y > < D i a g r a m O b j e c t K e y > < K e y > M e a s u r e s \ S u m a   d e   I n g r e s o   T o t a l   ( R e c a u d a d o ) < / K e y > < / D i a g r a m O b j e c t K e y > < D i a g r a m O b j e c t K e y > < K e y > M e a s u r e s \ S u m a   d e   I n g r e s o   T o t a l   ( R e c a u d a d o ) \ T a g I n f o \ F � r m u l a < / K e y > < / D i a g r a m O b j e c t K e y > < D i a g r a m O b j e c t K e y > < K e y > M e a s u r e s \ S u m a   d e   I n g r e s o   T o t a l   ( R e c a u d a d o ) \ T a g I n f o \ V a l o r < / K e y > < / D i a g r a m O b j e c t K e y > < D i a g r a m O b j e c t K e y > < K e y > M e a s u r e s \ S u m a   d e   I n g r e s o s   T r i b u t a r i o s < / K e y > < / D i a g r a m O b j e c t K e y > < D i a g r a m O b j e c t K e y > < K e y > M e a s u r e s \ S u m a   d e   I n g r e s o s   T r i b u t a r i o s \ T a g I n f o \ F � r m u l a < / K e y > < / D i a g r a m O b j e c t K e y > < D i a g r a m O b j e c t K e y > < K e y > M e a s u r e s \ S u m a   d e   I n g r e s o s   T r i b u t a r i o s \ T a g I n f o \ V a l o r < / K e y > < / D i a g r a m O b j e c t K e y > < D i a g r a m O b j e c t K e y > < K e y > M e a s u r e s \ S u m a   d e   B i n a c i o n a l e s < / K e y > < / D i a g r a m O b j e c t K e y > < D i a g r a m O b j e c t K e y > < K e y > M e a s u r e s \ S u m a   d e   B i n a c i o n a l e s \ T a g I n f o \ F � r m u l a < / K e y > < / D i a g r a m O b j e c t K e y > < D i a g r a m O b j e c t K e y > < K e y > M e a s u r e s \ S u m a   d e   B i n a c i o n a l e s \ T a g I n f o \ V a l o r < / K e y > < / D i a g r a m O b j e c t K e y > < D i a g r a m O b j e c t K e y > < K e y > M e a s u r e s \ S u m a   d e   P r e s i � n   T r i b u t a r i a < / K e y > < / D i a g r a m O b j e c t K e y > < D i a g r a m O b j e c t K e y > < K e y > M e a s u r e s \ S u m a   d e   P r e s i � n   T r i b u t a r i a \ T a g I n f o \ F � r m u l a < / K e y > < / D i a g r a m O b j e c t K e y > < D i a g r a m O b j e c t K e y > < K e y > M e a s u r e s \ S u m a   d e   P r e s i � n   T r i b u t a r i a \ T a g I n f o \ V a l o r < / K e y > < / D i a g r a m O b j e c t K e y > < D i a g r a m O b j e c t K e y > < K e y > M e a s u r e s \ S u m a   d e   S E T < / K e y > < / D i a g r a m O b j e c t K e y > < D i a g r a m O b j e c t K e y > < K e y > M e a s u r e s \ S u m a   d e   S E T \ T a g I n f o \ F � r m u l a < / K e y > < / D i a g r a m O b j e c t K e y > < D i a g r a m O b j e c t K e y > < K e y > M e a s u r e s \ S u m a   d e   S E T \ T a g I n f o \ V a l o r < / K e y > < / D i a g r a m O b j e c t K e y > < D i a g r a m O b j e c t K e y > < K e y > M e a s u r e s \ S u m a   d e   D N A < / K e y > < / D i a g r a m O b j e c t K e y > < D i a g r a m O b j e c t K e y > < K e y > M e a s u r e s \ S u m a   d e   D N A \ T a g I n f o \ F � r m u l a < / K e y > < / D i a g r a m O b j e c t K e y > < D i a g r a m O b j e c t K e y > < K e y > M e a s u r e s \ S u m a   d e   D N A \ T a g I n f o \ V a l o r < / K e y > < / D i a g r a m O b j e c t K e y > < D i a g r a m O b j e c t K e y > < K e y > M e a s u r e s \ S u m a   d e   %   V a r .   A n u a l i z a d o   S E T < / K e y > < / D i a g r a m O b j e c t K e y > < D i a g r a m O b j e c t K e y > < K e y > M e a s u r e s \ S u m a   d e   %   V a r .   A n u a l i z a d o   S E T \ T a g I n f o \ F � r m u l a < / K e y > < / D i a g r a m O b j e c t K e y > < D i a g r a m O b j e c t K e y > < K e y > M e a s u r e s \ S u m a   d e   %   V a r .   A n u a l i z a d o   S E T \ T a g I n f o \ V a l o r < / K e y > < / D i a g r a m O b j e c t K e y > < D i a g r a m O b j e c t K e y > < K e y > M e a s u r e s \ S u m a   d e   %   V a r .   A n u a l i z a d o   D N A < / K e y > < / D i a g r a m O b j e c t K e y > < D i a g r a m O b j e c t K e y > < K e y > M e a s u r e s \ S u m a   d e   %   V a r .   A n u a l i z a d o   D N A \ T a g I n f o \ F � r m u l a < / K e y > < / D i a g r a m O b j e c t K e y > < D i a g r a m O b j e c t K e y > < K e y > M e a s u r e s \ S u m a   d e   %   V a r .   A n u a l i z a d o   D N A \ T a g I n f o \ V a l o r < / K e y > < / D i a g r a m O b j e c t K e y > < D i a g r a m O b j e c t K e y > < K e y > M e a s u r e s \ S u m a   d e   I t a i p �   ( m i l l o n e s   d e   U S $ ) < / K e y > < / D i a g r a m O b j e c t K e y > < D i a g r a m O b j e c t K e y > < K e y > M e a s u r e s \ S u m a   d e   I t a i p �   ( m i l l o n e s   d e   U S $ ) \ T a g I n f o \ F � r m u l a < / K e y > < / D i a g r a m O b j e c t K e y > < D i a g r a m O b j e c t K e y > < K e y > M e a s u r e s \ S u m a   d e   I t a i p �   ( m i l l o n e s   d e   U S $ ) \ T a g I n f o \ V a l o r < / K e y > < / D i a g r a m O b j e c t K e y > < D i a g r a m O b j e c t K e y > < K e y > M e a s u r e s \ S u m a   d e   Y a c y r e t �   ( e n   m i l l o n e s   d e   U S $ ) < / K e y > < / D i a g r a m O b j e c t K e y > < D i a g r a m O b j e c t K e y > < K e y > M e a s u r e s \ S u m a   d e   Y a c y r e t �   ( e n   m i l l o n e s   d e   U S $ ) \ T a g I n f o \ F � r m u l a < / K e y > < / D i a g r a m O b j e c t K e y > < D i a g r a m O b j e c t K e y > < K e y > M e a s u r e s \ S u m a   d e   Y a c y r e t �   ( e n   m i l l o n e s   d e   U S $ ) \ T a g I n f o \ V a l o r < / K e y > < / D i a g r a m O b j e c t K e y > < D i a g r a m O b j e c t K e y > < K e y > M e a s u r e s \ S u m a   d e   G a s t o   T o t a l   ( O b l i g a d o ) < / K e y > < / D i a g r a m O b j e c t K e y > < D i a g r a m O b j e c t K e y > < K e y > M e a s u r e s \ S u m a   d e   G a s t o   T o t a l   ( O b l i g a d o ) \ T a g I n f o \ F � r m u l a < / K e y > < / D i a g r a m O b j e c t K e y > < D i a g r a m O b j e c t K e y > < K e y > M e a s u r e s \ S u m a   d e   G a s t o   T o t a l   ( O b l i g a d o ) \ T a g I n f o \ V a l o r < / K e y > < / D i a g r a m O b j e c t K e y > < D i a g r a m O b j e c t K e y > < K e y > M e a s u r e s \ S u m a   d e   R e m u n e r a c i � n   a   l o s   E m p l e a d o s < / K e y > < / D i a g r a m O b j e c t K e y > < D i a g r a m O b j e c t K e y > < K e y > M e a s u r e s \ S u m a   d e   R e m u n e r a c i � n   a   l o s   E m p l e a d o s \ T a g I n f o \ F � r m u l a < / K e y > < / D i a g r a m O b j e c t K e y > < D i a g r a m O b j e c t K e y > < K e y > M e a s u r e s \ S u m a   d e   R e m u n e r a c i � n   a   l o s   E m p l e a d o s \ T a g I n f o \ V a l o r < / K e y > < / D i a g r a m O b j e c t K e y > < D i a g r a m O b j e c t K e y > < K e y > M e a s u r e s \ S u m a   d e   U s o   d e   B i e n e s   y   S e r v i c i o s < / K e y > < / D i a g r a m O b j e c t K e y > < D i a g r a m O b j e c t K e y > < K e y > M e a s u r e s \ S u m a   d e   U s o   d e   B i e n e s   y   S e r v i c i o s \ T a g I n f o \ F � r m u l a < / K e y > < / D i a g r a m O b j e c t K e y > < D i a g r a m O b j e c t K e y > < K e y > M e a s u r e s \ S u m a   d e   U s o   d e   B i e n e s   y   S e r v i c i o s \ T a g I n f o \ V a l o r < / K e y > < / D i a g r a m O b j e c t K e y > < D i a g r a m O b j e c t K e y > < K e y > M e a s u r e s \ S u m a   d e   I n t e r e s e s < / K e y > < / D i a g r a m O b j e c t K e y > < D i a g r a m O b j e c t K e y > < K e y > M e a s u r e s \ S u m a   d e   I n t e r e s e s \ T a g I n f o \ F � r m u l a < / K e y > < / D i a g r a m O b j e c t K e y > < D i a g r a m O b j e c t K e y > < K e y > M e a s u r e s \ S u m a   d e   I n t e r e s e s \ T a g I n f o \ V a l o r < / K e y > < / D i a g r a m O b j e c t K e y > < D i a g r a m O b j e c t K e y > < K e y > M e a s u r e s \ S u m a   d e   D o n a c i o n e s   ( G a s t o ) < / K e y > < / D i a g r a m O b j e c t K e y > < D i a g r a m O b j e c t K e y > < K e y > M e a s u r e s \ S u m a   d e   D o n a c i o n e s   ( G a s t o ) \ T a g I n f o \ F � r m u l a < / K e y > < / D i a g r a m O b j e c t K e y > < D i a g r a m O b j e c t K e y > < K e y > M e a s u r e s \ S u m a   d e   D o n a c i o n e s   ( G a s t o ) \ T a g I n f o \ V a l o r < / K e y > < / D i a g r a m O b j e c t K e y > < D i a g r a m O b j e c t K e y > < K e y > M e a s u r e s \ S u m a   d e   P r e s t a c i o n e s   S o c i a l e s < / K e y > < / D i a g r a m O b j e c t K e y > < D i a g r a m O b j e c t K e y > < K e y > M e a s u r e s \ S u m a   d e   P r e s t a c i o n e s   S o c i a l e s \ T a g I n f o \ F � r m u l a < / K e y > < / D i a g r a m O b j e c t K e y > < D i a g r a m O b j e c t K e y > < K e y > M e a s u r e s \ S u m a   d e   P r e s t a c i o n e s   S o c i a l e s \ T a g I n f o \ V a l o r < / K e y > < / D i a g r a m O b j e c t K e y > < D i a g r a m O b j e c t K e y > < K e y > M e a s u r e s \ S u m a   d e   O t r o s   G a s t o s < / K e y > < / D i a g r a m O b j e c t K e y > < D i a g r a m O b j e c t K e y > < K e y > M e a s u r e s \ S u m a   d e   O t r o s   G a s t o s \ T a g I n f o \ F � r m u l a < / K e y > < / D i a g r a m O b j e c t K e y > < D i a g r a m O b j e c t K e y > < K e y > M e a s u r e s \ S u m a   d e   O t r o s   G a s t o s \ T a g I n f o \ V a l o r < / K e y > < / D i a g r a m O b j e c t K e y > < D i a g r a m O b j e c t K e y > < K e y > M e a s u r e s \ S u m a   d e   R O N   ( %   d e l   P I B ) < / K e y > < / D i a g r a m O b j e c t K e y > < D i a g r a m O b j e c t K e y > < K e y > M e a s u r e s \ S u m a   d e   R O N   ( %   d e l   P I B ) \ T a g I n f o \ F � r m u l a < / K e y > < / D i a g r a m O b j e c t K e y > < D i a g r a m O b j e c t K e y > < K e y > M e a s u r e s \ S u m a   d e   R O N   ( %   d e l   P I B ) \ T a g I n f o \ V a l o r < / K e y > < / D i a g r a m O b j e c t K e y > < D i a g r a m O b j e c t K e y > < K e y > M e a s u r e s \ S u m a   d e   M O P C   ( m m   U S $ ) < / K e y > < / D i a g r a m O b j e c t K e y > < D i a g r a m O b j e c t K e y > < K e y > M e a s u r e s \ S u m a   d e   M O P C   ( m m   U S $ ) \ T a g I n f o \ F � r m u l a < / K e y > < / D i a g r a m O b j e c t K e y > < D i a g r a m O b j e c t K e y > < K e y > M e a s u r e s \ S u m a   d e   M O P C   ( m m   U S $ ) \ T a g I n f o \ V a l o r < / K e y > < / D i a g r a m O b j e c t K e y > < D i a g r a m O b j e c t K e y > < K e y > M e a s u r e s \ S u m a   d e   O t r a s   e n t i d a d e s   ( m m   U S $ ) < / K e y > < / D i a g r a m O b j e c t K e y > < D i a g r a m O b j e c t K e y > < K e y > M e a s u r e s \ S u m a   d e   O t r a s   e n t i d a d e s   ( m m   U S $ ) \ T a g I n f o \ F � r m u l a < / K e y > < / D i a g r a m O b j e c t K e y > < D i a g r a m O b j e c t K e y > < K e y > M e a s u r e s \ S u m a   d e   O t r a s   e n t i d a d e s   ( m m   U S $ ) \ T a g I n f o \ V a l o r < / K e y > < / D i a g r a m O b j e c t K e y > < D i a g r a m O b j e c t K e y > < K e y > M e a s u r e s \ S u m a   d e   A N A N F   ( m m   U S $ ) < / K e y > < / D i a g r a m O b j e c t K e y > < D i a g r a m O b j e c t K e y > < K e y > M e a s u r e s \ S u m a   d e   A N A N F   ( m m   U S $ ) \ T a g I n f o \ F � r m u l a < / K e y > < / D i a g r a m O b j e c t K e y > < D i a g r a m O b j e c t K e y > < K e y > M e a s u r e s \ S u m a   d e   A N A N F   ( m m   U S $ ) \ T a g I n f o \ V a l o r < / K e y > < / D i a g r a m O b j e c t K e y > < D i a g r a m O b j e c t K e y > < K e y > M e a s u r e s \ S u m a   d e   R e s u l t a d o   F i s c a l   ( %   d e l   P I B ) < / K e y > < / D i a g r a m O b j e c t K e y > < D i a g r a m O b j e c t K e y > < K e y > M e a s u r e s \ S u m a   d e   R e s u l t a d o   F i s c a l   ( %   d e l   P I B ) \ T a g I n f o \ F � r m u l a < / K e y > < / D i a g r a m O b j e c t K e y > < D i a g r a m O b j e c t K e y > < K e y > M e a s u r e s \ S u m a   d e   R e s u l t a d o   F i s c a l   ( %   d e l   P I B ) \ T a g I n f o \ V a l o r < / K e y > < / D i a g r a m O b j e c t K e y > < D i a g r a m O b j e c t K e y > < K e y > M e a s u r e s \ S u m a   d e   S S P P   f i n a n c i a d o s   c o n   I n g r e s o s   T r i b u t a r i o s < / K e y > < / D i a g r a m O b j e c t K e y > < D i a g r a m O b j e c t K e y > < K e y > M e a s u r e s \ S u m a   d e   S S P P   f i n a n c i a d o s   c o n   I n g r e s o s   T r i b u t a r i o s \ T a g I n f o \ F � r m u l a < / K e y > < / D i a g r a m O b j e c t K e y > < D i a g r a m O b j e c t K e y > < K e y > M e a s u r e s \ S u m a   d e   S S P P   f i n a n c i a d o s   c o n   I n g r e s o s   T r i b u t a r i o s \ T a g I n f o \ V a l o r < / K e y > < / D i a g r a m O b j e c t K e y > < D i a g r a m O b j e c t K e y > < K e y > M e a s u r e s \ S u m a   d e   R e s u l t a d o   f i s c a l   p r i m a r i o   ( %   d e l   P I B ) < / K e y > < / D i a g r a m O b j e c t K e y > < D i a g r a m O b j e c t K e y > < K e y > M e a s u r e s \ S u m a   d e   R e s u l t a d o   f i s c a l   p r i m a r i o   ( %   d e l   P I B ) \ T a g I n f o \ F � r m u l a < / K e y > < / D i a g r a m O b j e c t K e y > < D i a g r a m O b j e c t K e y > < K e y > M e a s u r e s \ S u m a   d e   R e s u l t a d o   f i s c a l   p r i m a r i o   ( %   d e l   P I B ) \ T a g I n f o \ V a l o r < / K e y > < / D i a g r a m O b j e c t K e y > < D i a g r a m O b j e c t K e y > < K e y > M e a s u r e s \ S u m a   d e   R O N   a n u a l i z a d o   ( %   d e l   P I B ) < / K e y > < / D i a g r a m O b j e c t K e y > < D i a g r a m O b j e c t K e y > < K e y > M e a s u r e s \ S u m a   d e   R O N   a n u a l i z a d o   ( %   d e l   P I B ) \ T a g I n f o \ F � r m u l a < / K e y > < / D i a g r a m O b j e c t K e y > < D i a g r a m O b j e c t K e y > < K e y > M e a s u r e s \ S u m a   d e   R O N   a n u a l i z a d o   ( %   d e l   P I B ) \ T a g I n f o \ V a l o r < / K e y > < / D i a g r a m O b j e c t K e y > < D i a g r a m O b j e c t K e y > < K e y > M e a s u r e s \ S u m a   d e   A N A N F   a n u a l i z a d o   ( %   d e l   P I B ) < / K e y > < / D i a g r a m O b j e c t K e y > < D i a g r a m O b j e c t K e y > < K e y > M e a s u r e s \ S u m a   d e   A N A N F   a n u a l i z a d o   ( %   d e l   P I B ) \ T a g I n f o \ F � r m u l a < / K e y > < / D i a g r a m O b j e c t K e y > < D i a g r a m O b j e c t K e y > < K e y > M e a s u r e s \ S u m a   d e   A N A N F   a n u a l i z a d o   ( %   d e l   P I B ) \ T a g I n f o \ V a l o r < / K e y > < / D i a g r a m O b j e c t K e y > < D i a g r a m O b j e c t K e y > < K e y > M e a s u r e s \ S u m a   d e   R e s u l t a d o   f i s c a l   a n u a l i z a d o   ( %   d e l   P I B ) < / K e y > < / D i a g r a m O b j e c t K e y > < D i a g r a m O b j e c t K e y > < K e y > M e a s u r e s \ S u m a   d e   R e s u l t a d o   f i s c a l   a n u a l i z a d o   ( %   d e l   P I B ) \ T a g I n f o \ F � r m u l a < / K e y > < / D i a g r a m O b j e c t K e y > < D i a g r a m O b j e c t K e y > < K e y > M e a s u r e s \ S u m a   d e   R e s u l t a d o   f i s c a l   a n u a l i z a d o   ( %   d e l   P I B ) \ T a g I n f o \ V a l o r < / K e y > < / D i a g r a m O b j e c t K e y > < D i a g r a m O b j e c t K e y > < K e y > M e a s u r e s \ S u m a   d e   A N A N F   ( %   d e l   P I B ) < / K e y > < / D i a g r a m O b j e c t K e y > < D i a g r a m O b j e c t K e y > < K e y > M e a s u r e s \ S u m a   d e   A N A N F   ( %   d e l   P I B ) \ T a g I n f o \ F � r m u l a < / K e y > < / D i a g r a m O b j e c t K e y > < D i a g r a m O b j e c t K e y > < K e y > M e a s u r e s \ S u m a   d e   A N A N F   ( %   d e l   P I B ) \ T a g I n f o \ V a l o r < / K e y > < / D i a g r a m O b j e c t K e y > < D i a g r a m O b j e c t K e y > < K e y > M e a s u r e s \ S u m a   d e   I T   S u m a   1 2   m e s e s < / K e y > < / D i a g r a m O b j e c t K e y > < D i a g r a m O b j e c t K e y > < K e y > M e a s u r e s \ S u m a   d e   I T   S u m a   1 2   m e s e s \ T a g I n f o \ F � r m u l a < / K e y > < / D i a g r a m O b j e c t K e y > < D i a g r a m O b j e c t K e y > < K e y > M e a s u r e s \ S u m a   d e   I T   S u m a   1 2   m e s e s \ T a g I n f o \ V a l o r < / K e y > < / D i a g r a m O b j e c t K e y > < D i a g r a m O b j e c t K e y > < K e y > M e a s u r e s \ S u m a   d e   T r i b u t a r i o s   s u m a   1 2   m e s e s < / K e y > < / D i a g r a m O b j e c t K e y > < D i a g r a m O b j e c t K e y > < K e y > M e a s u r e s \ S u m a   d e   T r i b u t a r i o s   s u m a   1 2   m e s e s \ T a g I n f o \ F � r m u l a < / K e y > < / D i a g r a m O b j e c t K e y > < D i a g r a m O b j e c t K e y > < K e y > M e a s u r e s \ S u m a   d e   T r i b u t a r i o s   s u m a   1 2   m e s e s \ T a g I n f o \ V a l o r < / K e y > < / D i a g r a m O b j e c t K e y > < D i a g r a m O b j e c t K e y > < K e y > M e a s u r e s \ S u m a   d e   S E T   s u m a   1 2   m e s e s < / K e y > < / D i a g r a m O b j e c t K e y > < D i a g r a m O b j e c t K e y > < K e y > M e a s u r e s \ S u m a   d e   S E T   s u m a   1 2   m e s e s \ T a g I n f o \ F � r m u l a < / K e y > < / D i a g r a m O b j e c t K e y > < D i a g r a m O b j e c t K e y > < K e y > M e a s u r e s \ S u m a   d e   S E T   s u m a   1 2   m e s e s \ T a g I n f o \ V a l o r < / K e y > < / D i a g r a m O b j e c t K e y > < D i a g r a m O b j e c t K e y > < K e y > M e a s u r e s \ S u m a   d e   D N A   s u m a   1 2   m e s e s < / K e y > < / D i a g r a m O b j e c t K e y > < D i a g r a m O b j e c t K e y > < K e y > M e a s u r e s \ S u m a   d e   D N A   s u m a   1 2   m e s e s \ T a g I n f o \ F � r m u l a < / K e y > < / D i a g r a m O b j e c t K e y > < D i a g r a m O b j e c t K e y > < K e y > M e a s u r e s \ S u m a   d e   D N A   s u m a   1 2   m e s e s \ T a g I n f o \ V a l o r < / K e y > < / D i a g r a m O b j e c t K e y > < D i a g r a m O b j e c t K e y > < K e y > M e a s u r e s \ S u m a   d e   G a s t o   T o t a l   s u m a   1 2   m e s e s < / K e y > < / D i a g r a m O b j e c t K e y > < D i a g r a m O b j e c t K e y > < K e y > M e a s u r e s \ S u m a   d e   G a s t o   T o t a l   s u m a   1 2   m e s e s \ T a g I n f o \ F � r m u l a < / K e y > < / D i a g r a m O b j e c t K e y > < D i a g r a m O b j e c t K e y > < K e y > M e a s u r e s \ S u m a   d e   G a s t o   T o t a l   s u m a   1 2   m e s e s \ T a g I n f o \ V a l o r < / K e y > < / D i a g r a m O b j e c t K e y > < D i a g r a m O b j e c t K e y > < K e y > M e a s u r e s \ S u m a   d e   R O N   a c u m u l a d o   1 2   m e s e s < / K e y > < / D i a g r a m O b j e c t K e y > < D i a g r a m O b j e c t K e y > < K e y > M e a s u r e s \ S u m a   d e   R O N   a c u m u l a d o   1 2   m e s e s \ T a g I n f o \ F � r m u l a < / K e y > < / D i a g r a m O b j e c t K e y > < D i a g r a m O b j e c t K e y > < K e y > M e a s u r e s \ S u m a   d e   R O N   a c u m u l a d o   1 2   m e s e s \ T a g I n f o \ V a l o r < / K e y > < / D i a g r a m O b j e c t K e y > < D i a g r a m O b j e c t K e y > < K e y > M e a s u r e s \ S u m a   d e   A N A N F   a c u m u l a d o   1 2   m e s e s < / K e y > < / D i a g r a m O b j e c t K e y > < D i a g r a m O b j e c t K e y > < K e y > M e a s u r e s \ S u m a   d e   A N A N F   a c u m u l a d o   1 2   m e s e s \ T a g I n f o \ F � r m u l a < / K e y > < / D i a g r a m O b j e c t K e y > < D i a g r a m O b j e c t K e y > < K e y > M e a s u r e s \ S u m a   d e   A N A N F   a c u m u l a d o   1 2   m e s e s \ T a g I n f o \ V a l o r < / K e y > < / D i a g r a m O b j e c t K e y > < D i a g r a m O b j e c t K e y > < K e y > M e a s u r e s \ S u m a   d e   R e s u l t a d o   f i s c a l   a n u a l i z a d o < / K e y > < / D i a g r a m O b j e c t K e y > < D i a g r a m O b j e c t K e y > < K e y > M e a s u r e s \ S u m a   d e   R e s u l t a d o   f i s c a l   a n u a l i z a d o \ T a g I n f o \ F � r m u l a < / K e y > < / D i a g r a m O b j e c t K e y > < D i a g r a m O b j e c t K e y > < K e y > M e a s u r e s \ S u m a   d e   R e s u l t a d o   f i s c a l   a n u a l i z a d o \ T a g I n f o \ V a l o r < / K e y > < / D i a g r a m O b j e c t K e y > < D i a g r a m O b j e c t K e y > < K e y > M e a s u r e s \ S u m a   d e   %   V a r   i n t e r a n u a l < / K e y > < / D i a g r a m O b j e c t K e y > < D i a g r a m O b j e c t K e y > < K e y > M e a s u r e s \ S u m a   d e   %   V a r   i n t e r a n u a l \ T a g I n f o \ F � r m u l a < / K e y > < / D i a g r a m O b j e c t K e y > < D i a g r a m O b j e c t K e y > < K e y > M e a s u r e s \ S u m a   d e   %   V a r   i n t e r a n u a l \ T a g I n f o \ V a l o r < / K e y > < / D i a g r a m O b j e c t K e y > < D i a g r a m O b j e c t K e y > < K e y > M e a s u r e s \ S u m a   d e   %   V a r .   I n t e r a n u a l   T r i b u t a r i o s < / K e y > < / D i a g r a m O b j e c t K e y > < D i a g r a m O b j e c t K e y > < K e y > M e a s u r e s \ S u m a   d e   %   V a r .   I n t e r a n u a l   T r i b u t a r i o s \ T a g I n f o \ F � r m u l a < / K e y > < / D i a g r a m O b j e c t K e y > < D i a g r a m O b j e c t K e y > < K e y > M e a s u r e s \ S u m a   d e   %   V a r .   I n t e r a n u a l   T r i b u t a r i o s \ T a g I n f o \ V a l o r < / K e y > < / D i a g r a m O b j e c t K e y > < D i a g r a m O b j e c t K e y > < K e y > M e a s u r e s \ S u m a   d e   %   V a r .   I n t e r a n u a l   R e m u n . < / K e y > < / D i a g r a m O b j e c t K e y > < D i a g r a m O b j e c t K e y > < K e y > M e a s u r e s \ S u m a   d e   %   V a r .   I n t e r a n u a l   R e m u n . \ T a g I n f o \ F � r m u l a < / K e y > < / D i a g r a m O b j e c t K e y > < D i a g r a m O b j e c t K e y > < K e y > M e a s u r e s \ S u m a   d e   %   V a r .   I n t e r a n u a l   R e m u n . \ T a g I n f o \ V a l o r < / K e y > < / D i a g r a m O b j e c t K e y > < D i a g r a m O b j e c t K e y > < K e y > M e a s u r e s \ S u m a   d e   %   V a r .   A c u m u l a d o   R e m u n . < / K e y > < / D i a g r a m O b j e c t K e y > < D i a g r a m O b j e c t K e y > < K e y > M e a s u r e s \ S u m a   d e   %   V a r .   A c u m u l a d o   R e m u n . \ T a g I n f o \ F � r m u l a < / K e y > < / D i a g r a m O b j e c t K e y > < D i a g r a m O b j e c t K e y > < K e y > M e a s u r e s \ S u m a   d e   %   V a r .   A c u m u l a d o   R e m u n . \ T a g I n f o \ V a l o r < / K e y > < / D i a g r a m O b j e c t K e y > < D i a g r a m O b j e c t K e y > < K e y > M e a s u r e s \ S u m a   d e   S u e l d o s < / K e y > < / D i a g r a m O b j e c t K e y > < D i a g r a m O b j e c t K e y > < K e y > M e a s u r e s \ S u m a   d e   S u e l d o s \ T a g I n f o \ F � r m u l a < / K e y > < / D i a g r a m O b j e c t K e y > < D i a g r a m O b j e c t K e y > < K e y > M e a s u r e s \ S u m a   d e   S u e l d o s \ T a g I n f o \ V a l o r < / K e y > < / D i a g r a m O b j e c t K e y > < D i a g r a m O b j e c t K e y > < K e y > M e a s u r e s \ S u m a   d e   O t r a s   r e m u n e r a c i o n e s < / K e y > < / D i a g r a m O b j e c t K e y > < D i a g r a m O b j e c t K e y > < K e y > M e a s u r e s \ S u m a   d e   O t r a s   r e m u n e r a c i o n e s \ T a g I n f o \ F � r m u l a < / K e y > < / D i a g r a m O b j e c t K e y > < D i a g r a m O b j e c t K e y > < K e y > M e a s u r e s \ S u m a   d e   O t r a s   r e m u n e r a c i o n e s \ T a g I n f o \ V a l o r < / K e y > < / D i a g r a m O b j e c t K e y > < D i a g r a m O b j e c t K e y > < K e y > M e a s u r e s \ S u m a   d e   S a l a r i o s   L e y   d e   E m e r g e n c i a < / K e y > < / D i a g r a m O b j e c t K e y > < D i a g r a m O b j e c t K e y > < K e y > M e a s u r e s \ S u m a   d e   S a l a r i o s   L e y   d e   E m e r g e n c i a \ T a g I n f o \ F � r m u l a < / K e y > < / D i a g r a m O b j e c t K e y > < D i a g r a m O b j e c t K e y > < K e y > M e a s u r e s \ S u m a   d e   S a l a r i o s   L e y   d e   E m e r g e n c i a \ T a g I n f o \ V a l o r < / K e y > < / D i a g r a m O b j e c t K e y > < D i a g r a m O b j e c t K e y > < K e y > M e a s u r e s \ S u m a   d e   F F P P < / K e y > < / D i a g r a m O b j e c t K e y > < D i a g r a m O b j e c t K e y > < K e y > M e a s u r e s \ S u m a   d e   F F P P \ T a g I n f o \ F � r m u l a < / K e y > < / D i a g r a m O b j e c t K e y > < D i a g r a m O b j e c t K e y > < K e y > M e a s u r e s \ S u m a   d e   F F P P \ T a g I n f o \ V a l o r < / K e y > < / D i a g r a m O b j e c t K e y > < D i a g r a m O b j e c t K e y > < K e y > M e a s u r e s \ S u m a   d e   M E C < / K e y > < / D i a g r a m O b j e c t K e y > < D i a g r a m O b j e c t K e y > < K e y > M e a s u r e s \ S u m a   d e   M E C \ T a g I n f o \ F � r m u l a < / K e y > < / D i a g r a m O b j e c t K e y > < D i a g r a m O b j e c t K e y > < K e y > M e a s u r e s \ S u m a   d e   M E C \ T a g I n f o \ V a l o r < / K e y > < / D i a g r a m O b j e c t K e y > < D i a g r a m O b j e c t K e y > < K e y > M e a s u r e s \ S u m a   d e   M S P B S < / K e y > < / D i a g r a m O b j e c t K e y > < D i a g r a m O b j e c t K e y > < K e y > M e a s u r e s \ S u m a   d e   M S P B S \ T a g I n f o \ F � r m u l a < / K e y > < / D i a g r a m O b j e c t K e y > < D i a g r a m O b j e c t K e y > < K e y > M e a s u r e s \ S u m a   d e   M S P B S \ T a g I n f o \ V a l o r < / K e y > < / D i a g r a m O b j e c t K e y > < D i a g r a m O b j e c t K e y > < K e y > M e a s u r e s \ S u m a   d e   H o s p i t a l   d e   C l � n i c a s < / K e y > < / D i a g r a m O b j e c t K e y > < D i a g r a m O b j e c t K e y > < K e y > M e a s u r e s \ S u m a   d e   H o s p i t a l   d e   C l � n i c a s \ T a g I n f o \ F � r m u l a < / K e y > < / D i a g r a m O b j e c t K e y > < D i a g r a m O b j e c t K e y > < K e y > M e a s u r e s \ S u m a   d e   H o s p i t a l   d e   C l � n i c a s \ T a g I n f o \ V a l o r < / K e y > < / D i a g r a m O b j e c t K e y > < D i a g r a m O b j e c t K e y > < K e y > M e a s u r e s \ S u m a   d e   %   V a r   i n t e r a n u a l   A N A N F < / K e y > < / D i a g r a m O b j e c t K e y > < D i a g r a m O b j e c t K e y > < K e y > M e a s u r e s \ S u m a   d e   %   V a r   i n t e r a n u a l   A N A N F \ T a g I n f o \ F � r m u l a < / K e y > < / D i a g r a m O b j e c t K e y > < D i a g r a m O b j e c t K e y > < K e y > M e a s u r e s \ S u m a   d e   %   V a r   i n t e r a n u a l   A N A N F \ T a g I n f o \ V a l o r < / K e y > < / D i a g r a m O b j e c t K e y > < D i a g r a m O b j e c t K e y > < K e y > M e a s u r e s \ S u m a   d e   I n g r e s o   T o t a l   ( %   d e l   P I B ) < / K e y > < / D i a g r a m O b j e c t K e y > < D i a g r a m O b j e c t K e y > < K e y > M e a s u r e s \ S u m a   d e   I n g r e s o   T o t a l   ( %   d e l   P I B ) \ T a g I n f o \ F � r m u l a < / K e y > < / D i a g r a m O b j e c t K e y > < D i a g r a m O b j e c t K e y > < K e y > M e a s u r e s \ S u m a   d e   I n g r e s o   T o t a l   ( %   d e l   P I B ) \ T a g I n f o \ V a l o r < / K e y > < / D i a g r a m O b j e c t K e y > < D i a g r a m O b j e c t K e y > < K e y > M e a s u r e s \ S u m a   d e   G a s t o   T o t a l   ( %   d e l   P I B ) < / K e y > < / D i a g r a m O b j e c t K e y > < D i a g r a m O b j e c t K e y > < K e y > M e a s u r e s \ S u m a   d e   G a s t o   T o t a l   ( %   d e l   P I B ) \ T a g I n f o \ F � r m u l a < / K e y > < / D i a g r a m O b j e c t K e y > < D i a g r a m O b j e c t K e y > < K e y > M e a s u r e s \ S u m a   d e   G a s t o   T o t a l   ( %   d e l   P I B ) \ T a g I n f o \ V a l o r < / K e y > < / D i a g r a m O b j e c t K e y > < D i a g r a m O b j e c t K e y > < K e y > M e a s u r e s \ S u m a   d e   R O N   P r i m a r i o   ( %   d e l   P I B ) < / K e y > < / D i a g r a m O b j e c t K e y > < D i a g r a m O b j e c t K e y > < K e y > M e a s u r e s \ S u m a   d e   R O N   P r i m a r i o   ( %   d e l   P I B ) \ T a g I n f o \ F � r m u l a < / K e y > < / D i a g r a m O b j e c t K e y > < D i a g r a m O b j e c t K e y > < K e y > M e a s u r e s \ S u m a   d e   R O N   P r i m a r i o   ( %   d e l   P I B ) \ T a g I n f o \ V a l o r < / K e y > < / D i a g r a m O b j e c t K e y > < D i a g r a m O b j e c t K e y > < K e y > M e a s u r e s \ S u m a   d e   G a s t o + I n v e r s i � n   ( %   P I B ) < / K e y > < / D i a g r a m O b j e c t K e y > < D i a g r a m O b j e c t K e y > < K e y > M e a s u r e s \ S u m a   d e   G a s t o + I n v e r s i � n   ( %   P I B ) \ T a g I n f o \ F � r m u l a < / K e y > < / D i a g r a m O b j e c t K e y > < D i a g r a m O b j e c t K e y > < K e y > M e a s u r e s \ S u m a   d e   G a s t o + I n v e r s i � n   ( %   P I B ) \ T a g I n f o \ V a l o r < / K e y > < / D i a g r a m O b j e c t K e y > < D i a g r a m O b j e c t K e y > < K e y > M e a s u r e s \ S u m a   d e   %   V a r .   I n t e r a n u a l   S E T < / K e y > < / D i a g r a m O b j e c t K e y > < D i a g r a m O b j e c t K e y > < K e y > M e a s u r e s \ S u m a   d e   %   V a r .   I n t e r a n u a l   S E T \ T a g I n f o \ F � r m u l a < / K e y > < / D i a g r a m O b j e c t K e y > < D i a g r a m O b j e c t K e y > < K e y > M e a s u r e s \ S u m a   d e   %   V a r .   I n t e r a n u a l   S E T \ T a g I n f o \ V a l o r < / K e y > < / D i a g r a m O b j e c t K e y > < D i a g r a m O b j e c t K e y > < K e y > M e a s u r e s \ S u m a   d e   %   V a r .   I n t e r a n u a l   D N A < / K e y > < / D i a g r a m O b j e c t K e y > < D i a g r a m O b j e c t K e y > < K e y > M e a s u r e s \ S u m a   d e   %   V a r .   I n t e r a n u a l   D N A \ T a g I n f o \ F � r m u l a < / K e y > < / D i a g r a m O b j e c t K e y > < D i a g r a m O b j e c t K e y > < K e y > M e a s u r e s \ S u m a   d e   %   V a r .   I n t e r a n u a l   D N A \ T a g I n f o \ V a l o r < / K e y > < / D i a g r a m O b j e c t K e y > < D i a g r a m O b j e c t K e y > < K e y > M e a s u r e s \ S u m a   d e   R e s u l t a d o   F i s c a l   ( m i l l o n e s   d e   U S $ ) < / K e y > < / D i a g r a m O b j e c t K e y > < D i a g r a m O b j e c t K e y > < K e y > M e a s u r e s \ S u m a   d e   R e s u l t a d o   F i s c a l   ( m i l l o n e s   d e   U S $ ) \ T a g I n f o \ F � r m u l a < / K e y > < / D i a g r a m O b j e c t K e y > < D i a g r a m O b j e c t K e y > < K e y > M e a s u r e s \ S u m a   d e   R e s u l t a d o   F i s c a l   ( m i l l o n e s   d e   U S $ ) \ T a g I n f o \ V a l o r < / K e y > < / D i a g r a m O b j e c t K e y > < D i a g r a m O b j e c t K e y > < K e y > M e a s u r e s \ S u m a   d e   C o n t r i b u c i o n e s   S o c i a l e s < / K e y > < / D i a g r a m O b j e c t K e y > < D i a g r a m O b j e c t K e y > < K e y > M e a s u r e s \ S u m a   d e   C o n t r i b u c i o n e s   S o c i a l e s \ T a g I n f o \ F � r m u l a < / K e y > < / D i a g r a m O b j e c t K e y > < D i a g r a m O b j e c t K e y > < K e y > M e a s u r e s \ S u m a   d e   C o n t r i b u c i o n e s   S o c i a l e s \ T a g I n f o \ V a l o r < / K e y > < / D i a g r a m O b j e c t K e y > < D i a g r a m O b j e c t K e y > < K e y > M e a s u r e s \ S u m a   d e   D o n a c i o n e s < / K e y > < / D i a g r a m O b j e c t K e y > < D i a g r a m O b j e c t K e y > < K e y > M e a s u r e s \ S u m a   d e   D o n a c i o n e s \ T a g I n f o \ F � r m u l a < / K e y > < / D i a g r a m O b j e c t K e y > < D i a g r a m O b j e c t K e y > < K e y > M e a s u r e s \ S u m a   d e   D o n a c i o n e s \ T a g I n f o \ V a l o r < / K e y > < / D i a g r a m O b j e c t K e y > < D i a g r a m O b j e c t K e y > < K e y > M e a s u r e s \ S u m a   d e   O t r o s   I n g r e s o s < / K e y > < / D i a g r a m O b j e c t K e y > < D i a g r a m O b j e c t K e y > < K e y > M e a s u r e s \ S u m a   d e   O t r o s   I n g r e s o s \ T a g I n f o \ F � r m u l a < / K e y > < / D i a g r a m O b j e c t K e y > < D i a g r a m O b j e c t K e y > < K e y > M e a s u r e s \ S u m a   d e   O t r o s   I n g r e s o s \ T a g I n f o \ V a l o r < / K e y > < / D i a g r a m O b j e c t K e y > < D i a g r a m O b j e c t K e y > < K e y > M e a s u r e s \ S u m a   d e   A d q u i s i c i � n   N e t a   d e   A c t i v o s   n o   F i n a n c i e r o s < / K e y > < / D i a g r a m O b j e c t K e y > < D i a g r a m O b j e c t K e y > < K e y > M e a s u r e s \ S u m a   d e   A d q u i s i c i � n   N e t a   d e   A c t i v o s   n o   F i n a n c i e r o s \ T a g I n f o \ F � r m u l a < / K e y > < / D i a g r a m O b j e c t K e y > < D i a g r a m O b j e c t K e y > < K e y > M e a s u r e s \ S u m a   d e   A d q u i s i c i � n   N e t a   d e   A c t i v o s   n o   F i n a n c i e r o s \ T a g I n f o \ V a l o r < / K e y > < / D i a g r a m O b j e c t K e y > < D i a g r a m O b j e c t K e y > < K e y > M e a s u r e s \ S u m a   d e   M O P C < / K e y > < / D i a g r a m O b j e c t K e y > < D i a g r a m O b j e c t K e y > < K e y > M e a s u r e s \ S u m a   d e   M O P C \ T a g I n f o \ F � r m u l a < / K e y > < / D i a g r a m O b j e c t K e y > < D i a g r a m O b j e c t K e y > < K e y > M e a s u r e s \ S u m a   d e   M O P C \ T a g I n f o \ V a l o r < / K e y > < / D i a g r a m O b j e c t K e y > < D i a g r a m O b j e c t K e y > < K e y > M e a s u r e s \ S u m a   d e   M H < / K e y > < / D i a g r a m O b j e c t K e y > < D i a g r a m O b j e c t K e y > < K e y > M e a s u r e s \ S u m a   d e   M H \ T a g I n f o \ F � r m u l a < / K e y > < / D i a g r a m O b j e c t K e y > < D i a g r a m O b j e c t K e y > < K e y > M e a s u r e s \ S u m a   d e   M H \ T a g I n f o \ V a l o r < / K e y > < / D i a g r a m O b j e c t K e y > < D i a g r a m O b j e c t K e y > < K e y > M e a s u r e s \ S u m a   d e   M J < / K e y > < / D i a g r a m O b j e c t K e y > < D i a g r a m O b j e c t K e y > < K e y > M e a s u r e s \ S u m a   d e   M J \ T a g I n f o \ F � r m u l a < / K e y > < / D i a g r a m O b j e c t K e y > < D i a g r a m O b j e c t K e y > < K e y > M e a s u r e s \ S u m a   d e   M J \ T a g I n f o \ V a l o r < / K e y > < / D i a g r a m O b j e c t K e y > < D i a g r a m O b j e c t K e y > < K e y > M e a s u r e s \ S u m a   d e   M T E S S < / K e y > < / D i a g r a m O b j e c t K e y > < D i a g r a m O b j e c t K e y > < K e y > M e a s u r e s \ S u m a   d e   M T E S S \ T a g I n f o \ F � r m u l a < / K e y > < / D i a g r a m O b j e c t K e y > < D i a g r a m O b j e c t K e y > < K e y > M e a s u r e s \ S u m a   d e   M T E S S \ T a g I n f o \ V a l o r < / K e y > < / D i a g r a m O b j e c t K e y > < D i a g r a m O b j e c t K e y > < K e y > C o l u m n s \ O r d e n < / K e y > < / D i a g r a m O b j e c t K e y > < D i a g r a m O b j e c t K e y > < K e y > C o l u m n s \ P e r i o d o < / K e y > < / D i a g r a m O b j e c t K e y > < D i a g r a m O b j e c t K e y > < K e y > C o l u m n s \ M e s < / K e y > < / D i a g r a m O b j e c t K e y > < D i a g r a m O b j e c t K e y > < K e y > C o l u m n s \ A � o < / K e y > < / D i a g r a m O b j e c t K e y > < D i a g r a m O b j e c t K e y > < K e y > C o l u m n s \ P I B   n o m i n a l   ( m i l e s   d e   m i l l o n e s   d e   G . ) < / K e y > < / D i a g r a m O b j e c t K e y > < D i a g r a m O b j e c t K e y > < K e y > C o l u m n s \ T i p o   d e   c a m b i o   G s . / U S $ < / K e y > < / D i a g r a m O b j e c t K e y > < D i a g r a m O b j e c t K e y > < K e y > C o l u m n s \ I n g r e s o   T o t a l   ( R e c a u d a d o ) < / K e y > < / D i a g r a m O b j e c t K e y > < D i a g r a m O b j e c t K e y > < K e y > C o l u m n s \ I n g r e s o   T o t a l   ( %   d e l   P I B ) < / K e y > < / D i a g r a m O b j e c t K e y > < D i a g r a m O b j e c t K e y > < K e y > C o l u m n s \ I T   a c u m u l a d o   p o r   a � o < / K e y > < / D i a g r a m O b j e c t K e y > < D i a g r a m O b j e c t K e y > < K e y > C o l u m n s \ I T   S u m a   1 2   m e s e s < / K e y > < / D i a g r a m O b j e c t K e y > < D i a g r a m O b j e c t K e y > < K e y > C o l u m n s \ %   V a r   a c u m   I n g r e s o   t o t a l < / K e y > < / D i a g r a m O b j e c t K e y > < D i a g r a m O b j e c t K e y > < K e y > C o l u m n s \ %   V a r   i n t e r a n u a l < / K e y > < / D i a g r a m O b j e c t K e y > < D i a g r a m O b j e c t K e y > < K e y > C o l u m n s \ %   V a r   s u m a   1 2   m e s e s < / K e y > < / D i a g r a m O b j e c t K e y > < D i a g r a m O b j e c t K e y > < K e y > C o l u m n s \ I n g r e s o s   T r i b u t a r i o s < / K e y > < / D i a g r a m O b j e c t K e y > < D i a g r a m O b j e c t K e y > < K e y > C o l u m n s \ P r e s i � n   T r i b u t a r i a < / K e y > < / D i a g r a m O b j e c t K e y > < D i a g r a m O b j e c t K e y > < K e y > C o l u m n s \ T r i b u t a r i o s   A c u m .   P o r   a � o < / K e y > < / D i a g r a m O b j e c t K e y > < D i a g r a m O b j e c t K e y > < K e y > C o l u m n s \ T r i b u t a r i o s   s u m a   1 2   m e s e s < / K e y > < / D i a g r a m O b j e c t K e y > < D i a g r a m O b j e c t K e y > < K e y > C o l u m n s \ %   V a r .   I n t e r a n u a l   T r i b u t a r i o s < / K e y > < / D i a g r a m O b j e c t K e y > < D i a g r a m O b j e c t K e y > < K e y > C o l u m n s \ %   V a r .   A c u m .   T r i b u t a r i o s < / K e y > < / D i a g r a m O b j e c t K e y > < D i a g r a m O b j e c t K e y > < K e y > C o l u m n s \ %   V a r .   S u m a   1 2 m   T r i b u t a r i o s < / K e y > < / D i a g r a m O b j e c t K e y > < D i a g r a m O b j e c t K e y > < K e y > C o l u m n s \ S E T < / K e y > < / D i a g r a m O b j e c t K e y > < D i a g r a m O b j e c t K e y > < K e y > C o l u m n s \ S E T   s u m a   1 2   m e s e s < / K e y > < / D i a g r a m O b j e c t K e y > < D i a g r a m O b j e c t K e y > < K e y > C o l u m n s \ %   V a r .   A n u a l i z a d o   S E T < / K e y > < / D i a g r a m O b j e c t K e y > < D i a g r a m O b j e c t K e y > < K e y > C o l u m n s \ %   V a r .   I n t e r a n u a l   S E T < / K e y > < / D i a g r a m O b j e c t K e y > < D i a g r a m O b j e c t K e y > < K e y > C o l u m n s \ D N A < / K e y > < / D i a g r a m O b j e c t K e y > < D i a g r a m O b j e c t K e y > < K e y > C o l u m n s \ D N A   s u m a   1 2   m e s e s < / K e y > < / D i a g r a m O b j e c t K e y > < D i a g r a m O b j e c t K e y > < K e y > C o l u m n s \ %   V a r .   A n u a l i z a d o   D N A < / K e y > < / D i a g r a m O b j e c t K e y > < D i a g r a m O b j e c t K e y > < K e y > C o l u m n s \ %   V a r .   I n t e r a n u a l   D N A < / K e y > < / D i a g r a m O b j e c t K e y > < D i a g r a m O b j e c t K e y > < K e y > C o l u m n s \ C o n t r i b u c i o n e s   S o c i a l e s < / K e y > < / D i a g r a m O b j e c t K e y > < D i a g r a m O b j e c t K e y > < K e y > C o l u m n s \ C o n t r i b u c i o n e s   S o c i a l e s   ( %   d e l   P I B ) < / K e y > < / D i a g r a m O b j e c t K e y > < D i a g r a m O b j e c t K e y > < K e y > C o l u m n s \ D o n a c i o n e s < / K e y > < / D i a g r a m O b j e c t K e y > < D i a g r a m O b j e c t K e y > < K e y > C o l u m n s \ D o n a c i o n e s   ( %   d e l   P I B ) < / K e y > < / D i a g r a m O b j e c t K e y > < D i a g r a m O b j e c t K e y > < K e y > C o l u m n s \ O t r o s   I n g r e s o s < / K e y > < / D i a g r a m O b j e c t K e y > < D i a g r a m O b j e c t K e y > < K e y > C o l u m n s \ O t r o s   i n g r e s o s   ( m i l l o n e s   d e   U S $ ) < / K e y > < / D i a g r a m O b j e c t K e y > < D i a g r a m O b j e c t K e y > < K e y > C o l u m n s \ I t a i p � < / K e y > < / D i a g r a m O b j e c t K e y > < D i a g r a m O b j e c t K e y > < K e y > C o l u m n s \ I t a i p �   ( m i l l o n e s   d e   U S $ ) < / K e y > < / D i a g r a m O b j e c t K e y > < D i a g r a m O b j e c t K e y > < K e y > C o l u m n s \ I t a i p �   a c u m u l a d o   p o r   a � o   ( m i l l o n e s   d e   U S $ ) < / K e y > < / D i a g r a m O b j e c t K e y > < D i a g r a m O b j e c t K e y > < K e y > C o l u m n s \ Y a c y r e t � < / K e y > < / D i a g r a m O b j e c t K e y > < D i a g r a m O b j e c t K e y > < K e y > C o l u m n s \ Y a c y r e t �   ( e n   m i l l o n e s   d e   U S $ ) < / K e y > < / D i a g r a m O b j e c t K e y > < D i a g r a m O b j e c t K e y > < K e y > C o l u m n s \ Y a c y r e t �   a c u m u l a d o   p o r   a � o   ( m i l l o n e s   d e   U S $ ) < / K e y > < / D i a g r a m O b j e c t K e y > < D i a g r a m O b j e c t K e y > < K e y > C o l u m n s \ O t r o s   I n g r . < / K e y > < / D i a g r a m O b j e c t K e y > < D i a g r a m O b j e c t K e y > < K e y > C o l u m n s \ G a s t o   T o t a l   ( O b l i g a d o ) < / K e y > < / D i a g r a m O b j e c t K e y > < D i a g r a m O b j e c t K e y > < K e y > C o l u m n s \ G a s t o   T o t a l   ( %   d e l   P I B ) < / K e y > < / D i a g r a m O b j e c t K e y > < D i a g r a m O b j e c t K e y > < K e y > C o l u m n s \ G a s t o   t o t a l   a c u m u l a d o   p o r   a � o < / K e y > < / D i a g r a m O b j e c t K e y > < D i a g r a m O b j e c t K e y > < K e y > C o l u m n s \ G a s t o   T o t a l   s u m a   1 2   m e s e s < / K e y > < / D i a g r a m O b j e c t K e y > < D i a g r a m O b j e c t K e y > < K e y > C o l u m n s \ %   V a r   i n t e r a n u a l   g a s t o   t o t a l < / K e y > < / D i a g r a m O b j e c t K e y > < D i a g r a m O b j e c t K e y > < K e y > C o l u m n s \ %   V a r   a c u m u l a d o   g a s t o   t o t a l < / K e y > < / D i a g r a m O b j e c t K e y > < D i a g r a m O b j e c t K e y > < K e y > C o l u m n s \ %   V a r .   A n u a l i z a d o   G T < / K e y > < / D i a g r a m O b j e c t K e y > < D i a g r a m O b j e c t K e y > < K e y > C o l u m n s \ R e m u n e r a c i � n   a   l o s   E m p l e a d o s < / K e y > < / D i a g r a m O b j e c t K e y > < D i a g r a m O b j e c t K e y > < K e y > C o l u m n s \ R e m u n .   A c u m .   P o r   a � o < / K e y > < / D i a g r a m O b j e c t K e y > < D i a g r a m O b j e c t K e y > < K e y > C o l u m n s \ R e m u n .   S u m a   1 2   m e s e s < / K e y > < / D i a g r a m O b j e c t K e y > < D i a g r a m O b j e c t K e y > < K e y > C o l u m n s \ %   V a r .   I n t e r a n u a l   R e m u n . < / K e y > < / D i a g r a m O b j e c t K e y > < D i a g r a m O b j e c t K e y > < K e y > C o l u m n s \ %   V a r .   A c u m u l a d o   R e m u n . < / K e y > < / D i a g r a m O b j e c t K e y > < D i a g r a m O b j e c t K e y > < K e y > C o l u m n s \ %   V a r .   A n u a l i z a d o   R e m u n . < / K e y > < / D i a g r a m O b j e c t K e y > < D i a g r a m O b j e c t K e y > < K e y > C o l u m n s \ S u e l d o s < / K e y > < / D i a g r a m O b j e c t K e y > < D i a g r a m O b j e c t K e y > < K e y > C o l u m n s \ O t r a s   r e m u n e r a c i o n e s < / K e y > < / D i a g r a m O b j e c t K e y > < D i a g r a m O b j e c t K e y > < K e y > C o l u m n s \ U s o   d e   B i e n e s   y   S e r v i c i o s < / K e y > < / D i a g r a m O b j e c t K e y > < D i a g r a m O b j e c t K e y > < K e y > C o l u m n s \ I n t e r e s e s < / K e y > < / D i a g r a m O b j e c t K e y > < D i a g r a m O b j e c t K e y > < K e y > C o l u m n s \ I n t e r e s e s   ( m i l l o n e s   d e   U S $ ) < / K e y > < / D i a g r a m O b j e c t K e y > < D i a g r a m O b j e c t K e y > < K e y > C o l u m n s \ I n t e r e s e s   ( %   d e l   P I B ) < / K e y > < / D i a g r a m O b j e c t K e y > < D i a g r a m O b j e c t K e y > < K e y > C o l u m n s \ D o n a c i o n e s   ( G a s t o ) < / K e y > < / D i a g r a m O b j e c t K e y > < D i a g r a m O b j e c t K e y > < K e y > C o l u m n s \ P r e s t a c i o n e s   S o c i a l e s < / K e y > < / D i a g r a m O b j e c t K e y > < D i a g r a m O b j e c t K e y > < K e y > C o l u m n s \ O t r o s   G a s t o s < / K e y > < / D i a g r a m O b j e c t K e y > < D i a g r a m O b j e c t K e y > < K e y > C o l u m n s \ R e s u l t a d o   O p e r a t i v o   N e t o < / K e y > < / D i a g r a m O b j e c t K e y > < D i a g r a m O b j e c t K e y > < K e y > C o l u m n s \ R O N   a c u m u l a d o   p o r   a � o < / K e y > < / D i a g r a m O b j e c t K e y > < D i a g r a m O b j e c t K e y > < K e y > C o l u m n s \ R O N   a c u m u l a d o   1 2   m e s e s < / K e y > < / D i a g r a m O b j e c t K e y > < D i a g r a m O b j e c t K e y > < K e y > C o l u m n s \ %   V a r   i n t e r a n u a l   R O N < / K e y > < / D i a g r a m O b j e c t K e y > < D i a g r a m O b j e c t K e y > < K e y > C o l u m n s \ %   V a r   a c u m u l a d o   R O N < / K e y > < / D i a g r a m O b j e c t K e y > < D i a g r a m O b j e c t K e y > < K e y > C o l u m n s \ %   V a r   a n u a l i z a d o < / K e y > < / D i a g r a m O b j e c t K e y > < D i a g r a m O b j e c t K e y > < K e y > C o l u m n s \ R O N   ( %   d e l   P I B ) < / K e y > < / D i a g r a m O b j e c t K e y > < D i a g r a m O b j e c t K e y > < K e y > C o l u m n s \ R O N   a n u a l i z a d o   ( %   d e l   P I B ) < / K e y > < / D i a g r a m O b j e c t K e y > < D i a g r a m O b j e c t K e y > < K e y > C o l u m n s \ A d q u i s i c i � n   N e t a   d e   A c t i v o s   n o   F i n a n c i e r o s < / K e y > < / D i a g r a m O b j e c t K e y > < D i a g r a m O b j e c t K e y > < K e y > C o l u m n s \ A N A N F   a c u m u l a d o   p o r   a � o < / K e y > < / D i a g r a m O b j e c t K e y > < D i a g r a m O b j e c t K e y > < K e y > C o l u m n s \ A N A N F   a c u m u l a d o   1 2   m e s e s < / K e y > < / D i a g r a m O b j e c t K e y > < D i a g r a m O b j e c t K e y > < K e y > C o l u m n s \ %   V a r   i n t e r a n u a l   A N A N F < / K e y > < / D i a g r a m O b j e c t K e y > < D i a g r a m O b j e c t K e y > < K e y > C o l u m n s \ %   V a r   a c u m u l a d o   p o r   a � o   A N A N F < / K e y > < / D i a g r a m O b j e c t K e y > < D i a g r a m O b j e c t K e y > < K e y > C o l u m n s \ %   V a r   a n u a l i z a d o   A N A N F < / K e y > < / D i a g r a m O b j e c t K e y > < D i a g r a m O b j e c t K e y > < K e y > C o l u m n s \ A N A N F   ( m m   U S $ ) < / K e y > < / D i a g r a m O b j e c t K e y > < D i a g r a m O b j e c t K e y > < K e y > C o l u m n s \ A N A N F   ( %   d e l   P I B ) < / K e y > < / D i a g r a m O b j e c t K e y > < D i a g r a m O b j e c t K e y > < K e y > C o l u m n s \ A N A N F   a c u m .   P o r   a � o   ( %   d e l   P I B ) < / K e y > < / D i a g r a m O b j e c t K e y > < D i a g r a m O b j e c t K e y > < K e y > C o l u m n s \ A N A N F   a n u a l i z a d o   ( %   d e l   P I B ) < / K e y > < / D i a g r a m O b j e c t K e y > < D i a g r a m O b j e c t K e y > < K e y > C o l u m n s \ M O P C < / K e y > < / D i a g r a m O b j e c t K e y > < D i a g r a m O b j e c t K e y > < K e y > C o l u m n s \ M O P C   ( m m   U S $ ) < / K e y > < / D i a g r a m O b j e c t K e y > < D i a g r a m O b j e c t K e y > < K e y > C o l u m n s \ O t r a s   e n t i d a d e s < / K e y > < / D i a g r a m O b j e c t K e y > < D i a g r a m O b j e c t K e y > < K e y > C o l u m n s \ O t r a s   e n t i d a d e s   ( m m   U S $ ) < / K e y > < / D i a g r a m O b j e c t K e y > < D i a g r a m O b j e c t K e y > < K e y > C o l u m n s \ R e s u l t a d o   F i s c a l   ( m i l e s   d e   m i l l o n e s   d e   G . ) < / K e y > < / D i a g r a m O b j e c t K e y > < D i a g r a m O b j e c t K e y > < K e y > C o l u m n s \ R e s u l t a d o   F i s c a l   a c u m u l a d o   p o r   a � o < / K e y > < / D i a g r a m O b j e c t K e y > < D i a g r a m O b j e c t K e y > < K e y > C o l u m n s \ R e s u l t a d o   f i s c a l   a n u a l i z a d o < / K e y > < / D i a g r a m O b j e c t K e y > < D i a g r a m O b j e c t K e y > < K e y > C o l u m n s \ R e s u l t a d o   F i s c a l   ( m i l l o n e s   d e   U S $ ) < / K e y > < / D i a g r a m O b j e c t K e y > < D i a g r a m O b j e c t K e y > < K e y > C o l u m n s \ R e s u l t a d o   F i s c a l   a n u a l i z a d o   ( m i l l o n e s   d e   U S $ ) < / K e y > < / D i a g r a m O b j e c t K e y > < D i a g r a m O b j e c t K e y > < K e y > C o l u m n s \ %   V a r   i n t e r a n u a l   R e s u l t a d o   F i s c a l < / K e y > < / D i a g r a m O b j e c t K e y > < D i a g r a m O b j e c t K e y > < K e y > C o l u m n s \ %   V a r   a c u m u l a d o   R e s u l t a d o   F i s c a l < / K e y > < / D i a g r a m O b j e c t K e y > < D i a g r a m O b j e c t K e y > < K e y > C o l u m n s \ %   V a r   a n u a l i z a d o   R e s u l t a d o   F i s c a l < / K e y > < / D i a g r a m O b j e c t K e y > < D i a g r a m O b j e c t K e y > < K e y > C o l u m n s \ R e s u l t a d o   F i s c a l   ( %   d e l   P I B ) < / K e y > < / D i a g r a m O b j e c t K e y > < D i a g r a m O b j e c t K e y > < K e y > C o l u m n s \ R e s u l t a d o   f i s c a l   a n u a l i z a d o   ( %   d e l   P I B ) < / K e y > < / D i a g r a m O b j e c t K e y > < D i a g r a m O b j e c t K e y > < K e y > C o l u m n s \ S S P P   f i n a n c i a d o s   c o n   I n g r e s o s   T r i b u t a r i o s < / K e y > < / D i a g r a m O b j e c t K e y > < D i a g r a m O b j e c t K e y > < K e y > C o l u m n s \ B i n a c i o n a l e s < / K e y > < / D i a g r a m O b j e c t K e y > < D i a g r a m O b j e c t K e y > < K e y > C o l u m n s \ R e s u l t a d o   f i s c a l   p r i m a r i o < / K e y > < / D i a g r a m O b j e c t K e y > < D i a g r a m O b j e c t K e y > < K e y > C o l u m n s \ R e s u l t a d o   f i s c a l   p r i m a r i o   ( %   d e l   P I B ) < / K e y > < / D i a g r a m O b j e c t K e y > < D i a g r a m O b j e c t K e y > < K e y > C o l u m n s \ S a l a r i o s   L e y   d e   E m e r g e n c i a < / K e y > < / D i a g r a m O b j e c t K e y > < D i a g r a m O b j e c t K e y > < K e y > C o l u m n s \ F F P P < / K e y > < / D i a g r a m O b j e c t K e y > < D i a g r a m O b j e c t K e y > < K e y > C o l u m n s \ M E C < / K e y > < / D i a g r a m O b j e c t K e y > < D i a g r a m O b j e c t K e y > < K e y > C o l u m n s \ M S P B S < / K e y > < / D i a g r a m O b j e c t K e y > < D i a g r a m O b j e c t K e y > < K e y > C o l u m n s \ H o s p i t a l   d e   C l � n i c a s < / K e y > < / D i a g r a m O b j e c t K e y > < D i a g r a m O b j e c t K e y > < K e y > C o l u m n s \ R e s u l t a d o   O p e r a t i v o   P r i m a r i o < / K e y > < / D i a g r a m O b j e c t K e y > < D i a g r a m O b j e c t K e y > < K e y > C o l u m n s \ R O N   P r i m a r i o   ( %   d e l   P I B ) < / K e y > < / D i a g r a m O b j e c t K e y > < D i a g r a m O b j e c t K e y > < K e y > C o l u m n s \ G a s t o + I n v e r s i � n < / K e y > < / D i a g r a m O b j e c t K e y > < D i a g r a m O b j e c t K e y > < K e y > C o l u m n s \ G a s t o + I n v e r s i � n   ( %   P I B ) < / K e y > < / D i a g r a m O b j e c t K e y > < D i a g r a m O b j e c t K e y > < K e y > C o l u m n s \ M H < / K e y > < / D i a g r a m O b j e c t K e y > < D i a g r a m O b j e c t K e y > < K e y > C o l u m n s \ M J < / K e y > < / D i a g r a m O b j e c t K e y > < D i a g r a m O b j e c t K e y > < K e y > C o l u m n s \ M T E S S < / K e y > < / D i a g r a m O b j e c t K e y > < D i a g r a m O b j e c t K e y > < K e y > L i n k s \ & l t ; C o l u m n s \ S u m a   d e   I n g r e s o   T o t a l   ( R e c a u d a d o ) & g t ; - & l t ; M e a s u r e s \ I n g r e s o   T o t a l   ( R e c a u d a d o ) & g t ; < / K e y > < / D i a g r a m O b j e c t K e y > < D i a g r a m O b j e c t K e y > < K e y > L i n k s \ & l t ; C o l u m n s \ S u m a   d e   I n g r e s o   T o t a l   ( R e c a u d a d o ) & g t ; - & l t ; M e a s u r e s \ I n g r e s o   T o t a l   ( R e c a u d a d o ) & g t ; \ C O L U M N < / K e y > < / D i a g r a m O b j e c t K e y > < D i a g r a m O b j e c t K e y > < K e y > L i n k s \ & l t ; C o l u m n s \ S u m a   d e   I n g r e s o   T o t a l   ( R e c a u d a d o ) & g t ; - & l t ; M e a s u r e s \ I n g r e s o   T o t a l   ( R e c a u d a d o ) & g t ; \ M E A S U R E < / K e y > < / D i a g r a m O b j e c t K e y > < D i a g r a m O b j e c t K e y > < K e y > L i n k s \ & l t ; C o l u m n s \ S u m a   d e   I n g r e s o s   T r i b u t a r i o s & g t ; - & l t ; M e a s u r e s \ I n g r e s o s   T r i b u t a r i o s & g t ; < / K e y > < / D i a g r a m O b j e c t K e y > < D i a g r a m O b j e c t K e y > < K e y > L i n k s \ & l t ; C o l u m n s \ S u m a   d e   I n g r e s o s   T r i b u t a r i o s & g t ; - & l t ; M e a s u r e s \ I n g r e s o s   T r i b u t a r i o s & g t ; \ C O L U M N < / K e y > < / D i a g r a m O b j e c t K e y > < D i a g r a m O b j e c t K e y > < K e y > L i n k s \ & l t ; C o l u m n s \ S u m a   d e   I n g r e s o s   T r i b u t a r i o s & g t ; - & l t ; M e a s u r e s \ I n g r e s o s   T r i b u t a r i o s & g t ; \ M E A S U R E < / K e y > < / D i a g r a m O b j e c t K e y > < D i a g r a m O b j e c t K e y > < K e y > L i n k s \ & l t ; C o l u m n s \ S u m a   d e   B i n a c i o n a l e s & g t ; - & l t ; M e a s u r e s \ B i n a c i o n a l e s & g t ; < / K e y > < / D i a g r a m O b j e c t K e y > < D i a g r a m O b j e c t K e y > < K e y > L i n k s \ & l t ; C o l u m n s \ S u m a   d e   B i n a c i o n a l e s & g t ; - & l t ; M e a s u r e s \ B i n a c i o n a l e s & g t ; \ C O L U M N < / K e y > < / D i a g r a m O b j e c t K e y > < D i a g r a m O b j e c t K e y > < K e y > L i n k s \ & l t ; C o l u m n s \ S u m a   d e   B i n a c i o n a l e s & g t ; - & l t ; M e a s u r e s \ B i n a c i o n a l e s & g t ; \ M E A S U R E < / K e y > < / D i a g r a m O b j e c t K e y > < D i a g r a m O b j e c t K e y > < K e y > L i n k s \ & l t ; C o l u m n s \ S u m a   d e   P r e s i � n   T r i b u t a r i a & g t ; - & l t ; M e a s u r e s \ P r e s i � n   T r i b u t a r i a & g t ; < / K e y > < / D i a g r a m O b j e c t K e y > < D i a g r a m O b j e c t K e y > < K e y > L i n k s \ & l t ; C o l u m n s \ S u m a   d e   P r e s i � n   T r i b u t a r i a & g t ; - & l t ; M e a s u r e s \ P r e s i � n   T r i b u t a r i a & g t ; \ C O L U M N < / K e y > < / D i a g r a m O b j e c t K e y > < D i a g r a m O b j e c t K e y > < K e y > L i n k s \ & l t ; C o l u m n s \ S u m a   d e   P r e s i � n   T r i b u t a r i a & g t ; - & l t ; M e a s u r e s \ P r e s i � n   T r i b u t a r i a & g t ; \ M E A S U R E < / K e y > < / D i a g r a m O b j e c t K e y > < D i a g r a m O b j e c t K e y > < K e y > L i n k s \ & l t ; C o l u m n s \ S u m a   d e   S E T & g t ; - & l t ; M e a s u r e s \ S E T & g t ; < / K e y > < / D i a g r a m O b j e c t K e y > < D i a g r a m O b j e c t K e y > < K e y > L i n k s \ & l t ; C o l u m n s \ S u m a   d e   S E T & g t ; - & l t ; M e a s u r e s \ S E T & g t ; \ C O L U M N < / K e y > < / D i a g r a m O b j e c t K e y > < D i a g r a m O b j e c t K e y > < K e y > L i n k s \ & l t ; C o l u m n s \ S u m a   d e   S E T & g t ; - & l t ; M e a s u r e s \ S E T & g t ; \ M E A S U R E < / K e y > < / D i a g r a m O b j e c t K e y > < D i a g r a m O b j e c t K e y > < K e y > L i n k s \ & l t ; C o l u m n s \ S u m a   d e   D N A & g t ; - & l t ; M e a s u r e s \ D N A & g t ; < / K e y > < / D i a g r a m O b j e c t K e y > < D i a g r a m O b j e c t K e y > < K e y > L i n k s \ & l t ; C o l u m n s \ S u m a   d e   D N A & g t ; - & l t ; M e a s u r e s \ D N A & g t ; \ C O L U M N < / K e y > < / D i a g r a m O b j e c t K e y > < D i a g r a m O b j e c t K e y > < K e y > L i n k s \ & l t ; C o l u m n s \ S u m a   d e   D N A & g t ; - & l t ; M e a s u r e s \ D N A & g t ; \ M E A S U R E < / K e y > < / D i a g r a m O b j e c t K e y > < D i a g r a m O b j e c t K e y > < K e y > L i n k s \ & l t ; C o l u m n s \ S u m a   d e   %   V a r .   A n u a l i z a d o   S E T & g t ; - & l t ; M e a s u r e s \ %   V a r .   A n u a l i z a d o   S E T & g t ; < / K e y > < / D i a g r a m O b j e c t K e y > < D i a g r a m O b j e c t K e y > < K e y > L i n k s \ & l t ; C o l u m n s \ S u m a   d e   %   V a r .   A n u a l i z a d o   S E T & g t ; - & l t ; M e a s u r e s \ %   V a r .   A n u a l i z a d o   S E T & g t ; \ C O L U M N < / K e y > < / D i a g r a m O b j e c t K e y > < D i a g r a m O b j e c t K e y > < K e y > L i n k s \ & l t ; C o l u m n s \ S u m a   d e   %   V a r .   A n u a l i z a d o   S E T & g t ; - & l t ; M e a s u r e s \ %   V a r .   A n u a l i z a d o   S E T & g t ; \ M E A S U R E < / K e y > < / D i a g r a m O b j e c t K e y > < D i a g r a m O b j e c t K e y > < K e y > L i n k s \ & l t ; C o l u m n s \ S u m a   d e   %   V a r .   A n u a l i z a d o   D N A & g t ; - & l t ; M e a s u r e s \ %   V a r .   A n u a l i z a d o   D N A & g t ; < / K e y > < / D i a g r a m O b j e c t K e y > < D i a g r a m O b j e c t K e y > < K e y > L i n k s \ & l t ; C o l u m n s \ S u m a   d e   %   V a r .   A n u a l i z a d o   D N A & g t ; - & l t ; M e a s u r e s \ %   V a r .   A n u a l i z a d o   D N A & g t ; \ C O L U M N < / K e y > < / D i a g r a m O b j e c t K e y > < D i a g r a m O b j e c t K e y > < K e y > L i n k s \ & l t ; C o l u m n s \ S u m a   d e   %   V a r .   A n u a l i z a d o   D N A & g t ; - & l t ; M e a s u r e s \ %   V a r .   A n u a l i z a d o   D N A & g t ; \ M E A S U R E < / K e y > < / D i a g r a m O b j e c t K e y > < D i a g r a m O b j e c t K e y > < K e y > L i n k s \ & l t ; C o l u m n s \ S u m a   d e   I t a i p �   ( m i l l o n e s   d e   U S $ ) & g t ; - & l t ; M e a s u r e s \ I t a i p �   ( m i l l o n e s   d e   U S $ ) & g t ; < / K e y > < / D i a g r a m O b j e c t K e y > < D i a g r a m O b j e c t K e y > < K e y > L i n k s \ & l t ; C o l u m n s \ S u m a   d e   I t a i p �   ( m i l l o n e s   d e   U S $ ) & g t ; - & l t ; M e a s u r e s \ I t a i p �   ( m i l l o n e s   d e   U S $ ) & g t ; \ C O L U M N < / K e y > < / D i a g r a m O b j e c t K e y > < D i a g r a m O b j e c t K e y > < K e y > L i n k s \ & l t ; C o l u m n s \ S u m a   d e   I t a i p �   ( m i l l o n e s   d e   U S $ ) & g t ; - & l t ; M e a s u r e s \ I t a i p �   ( m i l l o n e s   d e   U S $ ) & g t ; \ M E A S U R E < / K e y > < / D i a g r a m O b j e c t K e y > < D i a g r a m O b j e c t K e y > < K e y > L i n k s \ & l t ; C o l u m n s \ S u m a   d e   Y a c y r e t �   ( e n   m i l l o n e s   d e   U S $ ) & g t ; - & l t ; M e a s u r e s \ Y a c y r e t �   ( e n   m i l l o n e s   d e   U S $ ) & g t ; < / K e y > < / D i a g r a m O b j e c t K e y > < D i a g r a m O b j e c t K e y > < K e y > L i n k s \ & l t ; C o l u m n s \ S u m a   d e   Y a c y r e t �   ( e n   m i l l o n e s   d e   U S $ ) & g t ; - & l t ; M e a s u r e s \ Y a c y r e t �   ( e n   m i l l o n e s   d e   U S $ ) & g t ; \ C O L U M N < / K e y > < / D i a g r a m O b j e c t K e y > < D i a g r a m O b j e c t K e y > < K e y > L i n k s \ & l t ; C o l u m n s \ S u m a   d e   Y a c y r e t �   ( e n   m i l l o n e s   d e   U S $ ) & g t ; - & l t ; M e a s u r e s \ Y a c y r e t �   ( e n   m i l l o n e s   d e   U S $ ) & g t ; \ M E A S U R E < / K e y > < / D i a g r a m O b j e c t K e y > < D i a g r a m O b j e c t K e y > < K e y > L i n k s \ & l t ; C o l u m n s \ S u m a   d e   G a s t o   T o t a l   ( O b l i g a d o ) & g t ; - & l t ; M e a s u r e s \ G a s t o   T o t a l   ( O b l i g a d o ) & g t ; < / K e y > < / D i a g r a m O b j e c t K e y > < D i a g r a m O b j e c t K e y > < K e y > L i n k s \ & l t ; C o l u m n s \ S u m a   d e   G a s t o   T o t a l   ( O b l i g a d o ) & g t ; - & l t ; M e a s u r e s \ G a s t o   T o t a l   ( O b l i g a d o ) & g t ; \ C O L U M N < / K e y > < / D i a g r a m O b j e c t K e y > < D i a g r a m O b j e c t K e y > < K e y > L i n k s \ & l t ; C o l u m n s \ S u m a   d e   G a s t o   T o t a l   ( O b l i g a d o ) & g t ; - & l t ; M e a s u r e s \ G a s t o   T o t a l   ( O b l i g a d o ) & g t ; \ M E A S U R E < / K e y > < / D i a g r a m O b j e c t K e y > < D i a g r a m O b j e c t K e y > < K e y > L i n k s \ & l t ; C o l u m n s \ S u m a   d e   R e m u n e r a c i � n   a   l o s   E m p l e a d o s & g t ; - & l t ; M e a s u r e s \ R e m u n e r a c i � n   a   l o s   E m p l e a d o s & g t ; < / K e y > < / D i a g r a m O b j e c t K e y > < D i a g r a m O b j e c t K e y > < K e y > L i n k s \ & l t ; C o l u m n s \ S u m a   d e   R e m u n e r a c i � n   a   l o s   E m p l e a d o s & g t ; - & l t ; M e a s u r e s \ R e m u n e r a c i � n   a   l o s   E m p l e a d o s & g t ; \ C O L U M N < / K e y > < / D i a g r a m O b j e c t K e y > < D i a g r a m O b j e c t K e y > < K e y > L i n k s \ & l t ; C o l u m n s \ S u m a   d e   R e m u n e r a c i � n   a   l o s   E m p l e a d o s & g t ; - & l t ; M e a s u r e s \ R e m u n e r a c i � n   a   l o s   E m p l e a d o s & g t ; \ M E A S U R E < / K e y > < / D i a g r a m O b j e c t K e y > < D i a g r a m O b j e c t K e y > < K e y > L i n k s \ & l t ; C o l u m n s \ S u m a   d e   U s o   d e   B i e n e s   y   S e r v i c i o s & g t ; - & l t ; M e a s u r e s \ U s o   d e   B i e n e s   y   S e r v i c i o s & g t ; < / K e y > < / D i a g r a m O b j e c t K e y > < D i a g r a m O b j e c t K e y > < K e y > L i n k s \ & l t ; C o l u m n s \ S u m a   d e   U s o   d e   B i e n e s   y   S e r v i c i o s & g t ; - & l t ; M e a s u r e s \ U s o   d e   B i e n e s   y   S e r v i c i o s & g t ; \ C O L U M N < / K e y > < / D i a g r a m O b j e c t K e y > < D i a g r a m O b j e c t K e y > < K e y > L i n k s \ & l t ; C o l u m n s \ S u m a   d e   U s o   d e   B i e n e s   y   S e r v i c i o s & g t ; - & l t ; M e a s u r e s \ U s o   d e   B i e n e s   y   S e r v i c i o s & g t ; \ M E A S U R E < / K e y > < / D i a g r a m O b j e c t K e y > < D i a g r a m O b j e c t K e y > < K e y > L i n k s \ & l t ; C o l u m n s \ S u m a   d e   I n t e r e s e s & g t ; - & l t ; M e a s u r e s \ I n t e r e s e s & g t ; < / K e y > < / D i a g r a m O b j e c t K e y > < D i a g r a m O b j e c t K e y > < K e y > L i n k s \ & l t ; C o l u m n s \ S u m a   d e   I n t e r e s e s & g t ; - & l t ; M e a s u r e s \ I n t e r e s e s & g t ; \ C O L U M N < / K e y > < / D i a g r a m O b j e c t K e y > < D i a g r a m O b j e c t K e y > < K e y > L i n k s \ & l t ; C o l u m n s \ S u m a   d e   I n t e r e s e s & g t ; - & l t ; M e a s u r e s \ I n t e r e s e s & g t ; \ M E A S U R E < / K e y > < / D i a g r a m O b j e c t K e y > < D i a g r a m O b j e c t K e y > < K e y > L i n k s \ & l t ; C o l u m n s \ S u m a   d e   D o n a c i o n e s   ( G a s t o ) & g t ; - & l t ; M e a s u r e s \ D o n a c i o n e s   ( G a s t o ) & g t ; < / K e y > < / D i a g r a m O b j e c t K e y > < D i a g r a m O b j e c t K e y > < K e y > L i n k s \ & l t ; C o l u m n s \ S u m a   d e   D o n a c i o n e s   ( G a s t o ) & g t ; - & l t ; M e a s u r e s \ D o n a c i o n e s   ( G a s t o ) & g t ; \ C O L U M N < / K e y > < / D i a g r a m O b j e c t K e y > < D i a g r a m O b j e c t K e y > < K e y > L i n k s \ & l t ; C o l u m n s \ S u m a   d e   D o n a c i o n e s   ( G a s t o ) & g t ; - & l t ; M e a s u r e s \ D o n a c i o n e s   ( G a s t o ) & g t ; \ M E A S U R E < / K e y > < / D i a g r a m O b j e c t K e y > < D i a g r a m O b j e c t K e y > < K e y > L i n k s \ & l t ; C o l u m n s \ S u m a   d e   P r e s t a c i o n e s   S o c i a l e s & g t ; - & l t ; M e a s u r e s \ P r e s t a c i o n e s   S o c i a l e s & g t ; < / K e y > < / D i a g r a m O b j e c t K e y > < D i a g r a m O b j e c t K e y > < K e y > L i n k s \ & l t ; C o l u m n s \ S u m a   d e   P r e s t a c i o n e s   S o c i a l e s & g t ; - & l t ; M e a s u r e s \ P r e s t a c i o n e s   S o c i a l e s & g t ; \ C O L U M N < / K e y > < / D i a g r a m O b j e c t K e y > < D i a g r a m O b j e c t K e y > < K e y > L i n k s \ & l t ; C o l u m n s \ S u m a   d e   P r e s t a c i o n e s   S o c i a l e s & g t ; - & l t ; M e a s u r e s \ P r e s t a c i o n e s   S o c i a l e s & g t ; \ M E A S U R E < / K e y > < / D i a g r a m O b j e c t K e y > < D i a g r a m O b j e c t K e y > < K e y > L i n k s \ & l t ; C o l u m n s \ S u m a   d e   O t r o s   G a s t o s & g t ; - & l t ; M e a s u r e s \ O t r o s   G a s t o s & g t ; < / K e y > < / D i a g r a m O b j e c t K e y > < D i a g r a m O b j e c t K e y > < K e y > L i n k s \ & l t ; C o l u m n s \ S u m a   d e   O t r o s   G a s t o s & g t ; - & l t ; M e a s u r e s \ O t r o s   G a s t o s & g t ; \ C O L U M N < / K e y > < / D i a g r a m O b j e c t K e y > < D i a g r a m O b j e c t K e y > < K e y > L i n k s \ & l t ; C o l u m n s \ S u m a   d e   O t r o s   G a s t o s & g t ; - & l t ; M e a s u r e s \ O t r o s   G a s t o s & g t ; \ M E A S U R E < / K e y > < / D i a g r a m O b j e c t K e y > < D i a g r a m O b j e c t K e y > < K e y > L i n k s \ & l t ; C o l u m n s \ S u m a   d e   R O N   ( %   d e l   P I B ) & g t ; - & l t ; M e a s u r e s \ R O N   ( %   d e l   P I B ) & g t ; < / K e y > < / D i a g r a m O b j e c t K e y > < D i a g r a m O b j e c t K e y > < K e y > L i n k s \ & l t ; C o l u m n s \ S u m a   d e   R O N   ( %   d e l   P I B ) & g t ; - & l t ; M e a s u r e s \ R O N   ( %   d e l   P I B ) & g t ; \ C O L U M N < / K e y > < / D i a g r a m O b j e c t K e y > < D i a g r a m O b j e c t K e y > < K e y > L i n k s \ & l t ; C o l u m n s \ S u m a   d e   R O N   ( %   d e l   P I B ) & g t ; - & l t ; M e a s u r e s \ R O N   ( %   d e l   P I B ) & g t ; \ M E A S U R E < / K e y > < / D i a g r a m O b j e c t K e y > < D i a g r a m O b j e c t K e y > < K e y > L i n k s \ & l t ; C o l u m n s \ S u m a   d e   M O P C   ( m m   U S $ ) & g t ; - & l t ; M e a s u r e s \ M O P C   ( m m   U S $ ) & g t ; < / K e y > < / D i a g r a m O b j e c t K e y > < D i a g r a m O b j e c t K e y > < K e y > L i n k s \ & l t ; C o l u m n s \ S u m a   d e   M O P C   ( m m   U S $ ) & g t ; - & l t ; M e a s u r e s \ M O P C   ( m m   U S $ ) & g t ; \ C O L U M N < / K e y > < / D i a g r a m O b j e c t K e y > < D i a g r a m O b j e c t K e y > < K e y > L i n k s \ & l t ; C o l u m n s \ S u m a   d e   M O P C   ( m m   U S $ ) & g t ; - & l t ; M e a s u r e s \ M O P C   ( m m   U S $ ) & g t ; \ M E A S U R E < / K e y > < / D i a g r a m O b j e c t K e y > < D i a g r a m O b j e c t K e y > < K e y > L i n k s \ & l t ; C o l u m n s \ S u m a   d e   O t r a s   e n t i d a d e s   ( m m   U S $ ) & g t ; - & l t ; M e a s u r e s \ O t r a s   e n t i d a d e s   ( m m   U S $ ) & g t ; < / K e y > < / D i a g r a m O b j e c t K e y > < D i a g r a m O b j e c t K e y > < K e y > L i n k s \ & l t ; C o l u m n s \ S u m a   d e   O t r a s   e n t i d a d e s   ( m m   U S $ ) & g t ; - & l t ; M e a s u r e s \ O t r a s   e n t i d a d e s   ( m m   U S $ ) & g t ; \ C O L U M N < / K e y > < / D i a g r a m O b j e c t K e y > < D i a g r a m O b j e c t K e y > < K e y > L i n k s \ & l t ; C o l u m n s \ S u m a   d e   O t r a s   e n t i d a d e s   ( m m   U S $ ) & g t ; - & l t ; M e a s u r e s \ O t r a s   e n t i d a d e s   ( m m   U S $ ) & g t ; \ M E A S U R E < / K e y > < / D i a g r a m O b j e c t K e y > < D i a g r a m O b j e c t K e y > < K e y > L i n k s \ & l t ; C o l u m n s \ S u m a   d e   A N A N F   ( m m   U S $ ) & g t ; - & l t ; M e a s u r e s \ A N A N F   ( m m   U S $ ) & g t ; < / K e y > < / D i a g r a m O b j e c t K e y > < D i a g r a m O b j e c t K e y > < K e y > L i n k s \ & l t ; C o l u m n s \ S u m a   d e   A N A N F   ( m m   U S $ ) & g t ; - & l t ; M e a s u r e s \ A N A N F   ( m m   U S $ ) & g t ; \ C O L U M N < / K e y > < / D i a g r a m O b j e c t K e y > < D i a g r a m O b j e c t K e y > < K e y > L i n k s \ & l t ; C o l u m n s \ S u m a   d e   A N A N F   ( m m   U S $ ) & g t ; - & l t ; M e a s u r e s \ A N A N F   ( m m   U S $ ) & g t ; \ M E A S U R E < / K e y > < / D i a g r a m O b j e c t K e y > < D i a g r a m O b j e c t K e y > < K e y > L i n k s \ & l t ; C o l u m n s \ S u m a   d e   R e s u l t a d o   F i s c a l   ( %   d e l   P I B ) & g t ; - & l t ; M e a s u r e s \ R e s u l t a d o   F i s c a l   ( %   d e l   P I B ) & g t ; < / K e y > < / D i a g r a m O b j e c t K e y > < D i a g r a m O b j e c t K e y > < K e y > L i n k s \ & l t ; C o l u m n s \ S u m a   d e   R e s u l t a d o   F i s c a l   ( %   d e l   P I B ) & g t ; - & l t ; M e a s u r e s \ R e s u l t a d o   F i s c a l   ( %   d e l   P I B ) & g t ; \ C O L U M N < / K e y > < / D i a g r a m O b j e c t K e y > < D i a g r a m O b j e c t K e y > < K e y > L i n k s \ & l t ; C o l u m n s \ S u m a   d e   R e s u l t a d o   F i s c a l   ( %   d e l   P I B ) & g t ; - & l t ; M e a s u r e s \ R e s u l t a d o   F i s c a l   ( %   d e l   P I B ) & g t ; \ M E A S U R E < / K e y > < / D i a g r a m O b j e c t K e y > < D i a g r a m O b j e c t K e y > < K e y > L i n k s \ & l t ; C o l u m n s \ S u m a   d e   S S P P   f i n a n c i a d o s   c o n   I n g r e s o s   T r i b u t a r i o s & g t ; - & l t ; M e a s u r e s \ S S P P   f i n a n c i a d o s   c o n   I n g r e s o s   T r i b u t a r i o s & g t ; < / K e y > < / D i a g r a m O b j e c t K e y > < D i a g r a m O b j e c t K e y > < K e y > L i n k s \ & l t ; C o l u m n s \ S u m a   d e   S S P P   f i n a n c i a d o s   c o n   I n g r e s o s   T r i b u t a r i o s & g t ; - & l t ; M e a s u r e s \ S S P P   f i n a n c i a d o s   c o n   I n g r e s o s   T r i b u t a r i o s & g t ; \ C O L U M N < / K e y > < / D i a g r a m O b j e c t K e y > < D i a g r a m O b j e c t K e y > < K e y > L i n k s \ & l t ; C o l u m n s \ S u m a   d e   S S P P   f i n a n c i a d o s   c o n   I n g r e s o s   T r i b u t a r i o s & g t ; - & l t ; M e a s u r e s \ S S P P   f i n a n c i a d o s   c o n   I n g r e s o s   T r i b u t a r i o s & g t ; \ M E A S U R E < / K e y > < / D i a g r a m O b j e c t K e y > < D i a g r a m O b j e c t K e y > < K e y > L i n k s \ & l t ; C o l u m n s \ S u m a   d e   R e s u l t a d o   f i s c a l   p r i m a r i o   ( %   d e l   P I B ) & g t ; - & l t ; M e a s u r e s \ R e s u l t a d o   f i s c a l   p r i m a r i o   ( %   d e l   P I B ) & g t ; < / K e y > < / D i a g r a m O b j e c t K e y > < D i a g r a m O b j e c t K e y > < K e y > L i n k s \ & l t ; C o l u m n s \ S u m a   d e   R e s u l t a d o   f i s c a l   p r i m a r i o   ( %   d e l   P I B ) & g t ; - & l t ; M e a s u r e s \ R e s u l t a d o   f i s c a l   p r i m a r i o   ( %   d e l   P I B ) & g t ; \ C O L U M N < / K e y > < / D i a g r a m O b j e c t K e y > < D i a g r a m O b j e c t K e y > < K e y > L i n k s \ & l t ; C o l u m n s \ S u m a   d e   R e s u l t a d o   f i s c a l   p r i m a r i o   ( %   d e l   P I B ) & g t ; - & l t ; M e a s u r e s \ R e s u l t a d o   f i s c a l   p r i m a r i o   ( %   d e l   P I B ) & g t ; \ M E A S U R E < / K e y > < / D i a g r a m O b j e c t K e y > < D i a g r a m O b j e c t K e y > < K e y > L i n k s \ & l t ; C o l u m n s \ S u m a   d e   R O N   a n u a l i z a d o   ( %   d e l   P I B ) & g t ; - & l t ; M e a s u r e s \ R O N   a n u a l i z a d o   ( %   d e l   P I B ) & g t ; < / K e y > < / D i a g r a m O b j e c t K e y > < D i a g r a m O b j e c t K e y > < K e y > L i n k s \ & l t ; C o l u m n s \ S u m a   d e   R O N   a n u a l i z a d o   ( %   d e l   P I B ) & g t ; - & l t ; M e a s u r e s \ R O N   a n u a l i z a d o   ( %   d e l   P I B ) & g t ; \ C O L U M N < / K e y > < / D i a g r a m O b j e c t K e y > < D i a g r a m O b j e c t K e y > < K e y > L i n k s \ & l t ; C o l u m n s \ S u m a   d e   R O N   a n u a l i z a d o   ( %   d e l   P I B ) & g t ; - & l t ; M e a s u r e s \ R O N   a n u a l i z a d o   ( %   d e l   P I B ) & g t ; \ M E A S U R E < / K e y > < / D i a g r a m O b j e c t K e y > < D i a g r a m O b j e c t K e y > < K e y > L i n k s \ & l t ; C o l u m n s \ S u m a   d e   A N A N F   a n u a l i z a d o   ( %   d e l   P I B ) & g t ; - & l t ; M e a s u r e s \ A N A N F   a n u a l i z a d o   ( %   d e l   P I B ) & g t ; < / K e y > < / D i a g r a m O b j e c t K e y > < D i a g r a m O b j e c t K e y > < K e y > L i n k s \ & l t ; C o l u m n s \ S u m a   d e   A N A N F   a n u a l i z a d o   ( %   d e l   P I B ) & g t ; - & l t ; M e a s u r e s \ A N A N F   a n u a l i z a d o   ( %   d e l   P I B ) & g t ; \ C O L U M N < / K e y > < / D i a g r a m O b j e c t K e y > < D i a g r a m O b j e c t K e y > < K e y > L i n k s \ & l t ; C o l u m n s \ S u m a   d e   A N A N F   a n u a l i z a d o   ( %   d e l   P I B ) & g t ; - & l t ; M e a s u r e s \ A N A N F   a n u a l i z a d o   ( %   d e l   P I B ) & g t ; \ M E A S U R E < / K e y > < / D i a g r a m O b j e c t K e y > < D i a g r a m O b j e c t K e y > < K e y > L i n k s \ & l t ; C o l u m n s \ S u m a   d e   R e s u l t a d o   f i s c a l   a n u a l i z a d o   ( %   d e l   P I B ) & g t ; - & l t ; M e a s u r e s \ R e s u l t a d o   f i s c a l   a n u a l i z a d o   ( %   d e l   P I B ) & g t ; < / K e y > < / D i a g r a m O b j e c t K e y > < D i a g r a m O b j e c t K e y > < K e y > L i n k s \ & l t ; C o l u m n s \ S u m a   d e   R e s u l t a d o   f i s c a l   a n u a l i z a d o   ( %   d e l   P I B ) & g t ; - & l t ; M e a s u r e s \ R e s u l t a d o   f i s c a l   a n u a l i z a d o   ( %   d e l   P I B ) & g t ; \ C O L U M N < / K e y > < / D i a g r a m O b j e c t K e y > < D i a g r a m O b j e c t K e y > < K e y > L i n k s \ & l t ; C o l u m n s \ S u m a   d e   R e s u l t a d o   f i s c a l   a n u a l i z a d o   ( %   d e l   P I B ) & g t ; - & l t ; M e a s u r e s \ R e s u l t a d o   f i s c a l   a n u a l i z a d o   ( %   d e l   P I B ) & g t ; \ M E A S U R E < / K e y > < / D i a g r a m O b j e c t K e y > < D i a g r a m O b j e c t K e y > < K e y > L i n k s \ & l t ; C o l u m n s \ S u m a   d e   A N A N F   ( %   d e l   P I B ) & g t ; - & l t ; M e a s u r e s \ A N A N F   ( %   d e l   P I B ) & g t ; < / K e y > < / D i a g r a m O b j e c t K e y > < D i a g r a m O b j e c t K e y > < K e y > L i n k s \ & l t ; C o l u m n s \ S u m a   d e   A N A N F   ( %   d e l   P I B ) & g t ; - & l t ; M e a s u r e s \ A N A N F   ( %   d e l   P I B ) & g t ; \ C O L U M N < / K e y > < / D i a g r a m O b j e c t K e y > < D i a g r a m O b j e c t K e y > < K e y > L i n k s \ & l t ; C o l u m n s \ S u m a   d e   A N A N F   ( %   d e l   P I B ) & g t ; - & l t ; M e a s u r e s \ A N A N F   ( %   d e l   P I B ) & g t ; \ M E A S U R E < / K e y > < / D i a g r a m O b j e c t K e y > < D i a g r a m O b j e c t K e y > < K e y > L i n k s \ & l t ; C o l u m n s \ S u m a   d e   I T   S u m a   1 2   m e s e s & g t ; - & l t ; M e a s u r e s \ I T   S u m a   1 2   m e s e s & g t ; < / K e y > < / D i a g r a m O b j e c t K e y > < D i a g r a m O b j e c t K e y > < K e y > L i n k s \ & l t ; C o l u m n s \ S u m a   d e   I T   S u m a   1 2   m e s e s & g t ; - & l t ; M e a s u r e s \ I T   S u m a   1 2   m e s e s & g t ; \ C O L U M N < / K e y > < / D i a g r a m O b j e c t K e y > < D i a g r a m O b j e c t K e y > < K e y > L i n k s \ & l t ; C o l u m n s \ S u m a   d e   I T   S u m a   1 2   m e s e s & g t ; - & l t ; M e a s u r e s \ I T   S u m a   1 2   m e s e s & g t ; \ M E A S U R E < / K e y > < / D i a g r a m O b j e c t K e y > < D i a g r a m O b j e c t K e y > < K e y > L i n k s \ & l t ; C o l u m n s \ S u m a   d e   T r i b u t a r i o s   s u m a   1 2   m e s e s & g t ; - & l t ; M e a s u r e s \ T r i b u t a r i o s   s u m a   1 2   m e s e s & g t ; < / K e y > < / D i a g r a m O b j e c t K e y > < D i a g r a m O b j e c t K e y > < K e y > L i n k s \ & l t ; C o l u m n s \ S u m a   d e   T r i b u t a r i o s   s u m a   1 2   m e s e s & g t ; - & l t ; M e a s u r e s \ T r i b u t a r i o s   s u m a   1 2   m e s e s & g t ; \ C O L U M N < / K e y > < / D i a g r a m O b j e c t K e y > < D i a g r a m O b j e c t K e y > < K e y > L i n k s \ & l t ; C o l u m n s \ S u m a   d e   T r i b u t a r i o s   s u m a   1 2   m e s e s & g t ; - & l t ; M e a s u r e s \ T r i b u t a r i o s   s u m a   1 2   m e s e s & g t ; \ M E A S U R E < / K e y > < / D i a g r a m O b j e c t K e y > < D i a g r a m O b j e c t K e y > < K e y > L i n k s \ & l t ; C o l u m n s \ S u m a   d e   S E T   s u m a   1 2   m e s e s & g t ; - & l t ; M e a s u r e s \ S E T   s u m a   1 2   m e s e s & g t ; < / K e y > < / D i a g r a m O b j e c t K e y > < D i a g r a m O b j e c t K e y > < K e y > L i n k s \ & l t ; C o l u m n s \ S u m a   d e   S E T   s u m a   1 2   m e s e s & g t ; - & l t ; M e a s u r e s \ S E T   s u m a   1 2   m e s e s & g t ; \ C O L U M N < / K e y > < / D i a g r a m O b j e c t K e y > < D i a g r a m O b j e c t K e y > < K e y > L i n k s \ & l t ; C o l u m n s \ S u m a   d e   S E T   s u m a   1 2   m e s e s & g t ; - & l t ; M e a s u r e s \ S E T   s u m a   1 2   m e s e s & g t ; \ M E A S U R E < / K e y > < / D i a g r a m O b j e c t K e y > < D i a g r a m O b j e c t K e y > < K e y > L i n k s \ & l t ; C o l u m n s \ S u m a   d e   D N A   s u m a   1 2   m e s e s & g t ; - & l t ; M e a s u r e s \ D N A   s u m a   1 2   m e s e s & g t ; < / K e y > < / D i a g r a m O b j e c t K e y > < D i a g r a m O b j e c t K e y > < K e y > L i n k s \ & l t ; C o l u m n s \ S u m a   d e   D N A   s u m a   1 2   m e s e s & g t ; - & l t ; M e a s u r e s \ D N A   s u m a   1 2   m e s e s & g t ; \ C O L U M N < / K e y > < / D i a g r a m O b j e c t K e y > < D i a g r a m O b j e c t K e y > < K e y > L i n k s \ & l t ; C o l u m n s \ S u m a   d e   D N A   s u m a   1 2   m e s e s & g t ; - & l t ; M e a s u r e s \ D N A   s u m a   1 2   m e s e s & g t ; \ M E A S U R E < / K e y > < / D i a g r a m O b j e c t K e y > < D i a g r a m O b j e c t K e y > < K e y > L i n k s \ & l t ; C o l u m n s \ S u m a   d e   G a s t o   T o t a l   s u m a   1 2   m e s e s & g t ; - & l t ; M e a s u r e s \ G a s t o   T o t a l   s u m a   1 2   m e s e s & g t ; < / K e y > < / D i a g r a m O b j e c t K e y > < D i a g r a m O b j e c t K e y > < K e y > L i n k s \ & l t ; C o l u m n s \ S u m a   d e   G a s t o   T o t a l   s u m a   1 2   m e s e s & g t ; - & l t ; M e a s u r e s \ G a s t o   T o t a l   s u m a   1 2   m e s e s & g t ; \ C O L U M N < / K e y > < / D i a g r a m O b j e c t K e y > < D i a g r a m O b j e c t K e y > < K e y > L i n k s \ & l t ; C o l u m n s \ S u m a   d e   G a s t o   T o t a l   s u m a   1 2   m e s e s & g t ; - & l t ; M e a s u r e s \ G a s t o   T o t a l   s u m a   1 2   m e s e s & g t ; \ M E A S U R E < / K e y > < / D i a g r a m O b j e c t K e y > < D i a g r a m O b j e c t K e y > < K e y > L i n k s \ & l t ; C o l u m n s \ S u m a   d e   R O N   a c u m u l a d o   1 2   m e s e s & g t ; - & l t ; M e a s u r e s \ R O N   a c u m u l a d o   1 2   m e s e s & g t ; < / K e y > < / D i a g r a m O b j e c t K e y > < D i a g r a m O b j e c t K e y > < K e y > L i n k s \ & l t ; C o l u m n s \ S u m a   d e   R O N   a c u m u l a d o   1 2   m e s e s & g t ; - & l t ; M e a s u r e s \ R O N   a c u m u l a d o   1 2   m e s e s & g t ; \ C O L U M N < / K e y > < / D i a g r a m O b j e c t K e y > < D i a g r a m O b j e c t K e y > < K e y > L i n k s \ & l t ; C o l u m n s \ S u m a   d e   R O N   a c u m u l a d o   1 2   m e s e s & g t ; - & l t ; M e a s u r e s \ R O N   a c u m u l a d o   1 2   m e s e s & g t ; \ M E A S U R E < / K e y > < / D i a g r a m O b j e c t K e y > < D i a g r a m O b j e c t K e y > < K e y > L i n k s \ & l t ; C o l u m n s \ S u m a   d e   A N A N F   a c u m u l a d o   1 2   m e s e s & g t ; - & l t ; M e a s u r e s \ A N A N F   a c u m u l a d o   1 2   m e s e s & g t ; < / K e y > < / D i a g r a m O b j e c t K e y > < D i a g r a m O b j e c t K e y > < K e y > L i n k s \ & l t ; C o l u m n s \ S u m a   d e   A N A N F   a c u m u l a d o   1 2   m e s e s & g t ; - & l t ; M e a s u r e s \ A N A N F   a c u m u l a d o   1 2   m e s e s & g t ; \ C O L U M N < / K e y > < / D i a g r a m O b j e c t K e y > < D i a g r a m O b j e c t K e y > < K e y > L i n k s \ & l t ; C o l u m n s \ S u m a   d e   A N A N F   a c u m u l a d o   1 2   m e s e s & g t ; - & l t ; M e a s u r e s \ A N A N F   a c u m u l a d o   1 2   m e s e s & g t ; \ M E A S U R E < / K e y > < / D i a g r a m O b j e c t K e y > < D i a g r a m O b j e c t K e y > < K e y > L i n k s \ & l t ; C o l u m n s \ S u m a   d e   R e s u l t a d o   f i s c a l   a n u a l i z a d o & g t ; - & l t ; M e a s u r e s \ R e s u l t a d o   f i s c a l   a n u a l i z a d o & g t ; < / K e y > < / D i a g r a m O b j e c t K e y > < D i a g r a m O b j e c t K e y > < K e y > L i n k s \ & l t ; C o l u m n s \ S u m a   d e   R e s u l t a d o   f i s c a l   a n u a l i z a d o & g t ; - & l t ; M e a s u r e s \ R e s u l t a d o   f i s c a l   a n u a l i z a d o & g t ; \ C O L U M N < / K e y > < / D i a g r a m O b j e c t K e y > < D i a g r a m O b j e c t K e y > < K e y > L i n k s \ & l t ; C o l u m n s \ S u m a   d e   R e s u l t a d o   f i s c a l   a n u a l i z a d o & g t ; - & l t ; M e a s u r e s \ R e s u l t a d o   f i s c a l   a n u a l i z a d o & g t ; \ M E A S U R E < / K e y > < / D i a g r a m O b j e c t K e y > < D i a g r a m O b j e c t K e y > < K e y > L i n k s \ & l t ; C o l u m n s \ S u m a   d e   %   V a r   i n t e r a n u a l & g t ; - & l t ; M e a s u r e s \ %   V a r   i n t e r a n u a l & g t ; < / K e y > < / D i a g r a m O b j e c t K e y > < D i a g r a m O b j e c t K e y > < K e y > L i n k s \ & l t ; C o l u m n s \ S u m a   d e   %   V a r   i n t e r a n u a l & g t ; - & l t ; M e a s u r e s \ %   V a r   i n t e r a n u a l & g t ; \ C O L U M N < / K e y > < / D i a g r a m O b j e c t K e y > < D i a g r a m O b j e c t K e y > < K e y > L i n k s \ & l t ; C o l u m n s \ S u m a   d e   %   V a r   i n t e r a n u a l & g t ; - & l t ; M e a s u r e s \ %   V a r   i n t e r a n u a l & g t ; \ M E A S U R E < / K e y > < / D i a g r a m O b j e c t K e y > < D i a g r a m O b j e c t K e y > < K e y > L i n k s \ & l t ; C o l u m n s \ S u m a   d e   %   V a r .   I n t e r a n u a l   T r i b u t a r i o s & g t ; - & l t ; M e a s u r e s \ %   V a r .   I n t e r a n u a l   T r i b u t a r i o s & g t ; < / K e y > < / D i a g r a m O b j e c t K e y > < D i a g r a m O b j e c t K e y > < K e y > L i n k s \ & l t ; C o l u m n s \ S u m a   d e   %   V a r .   I n t e r a n u a l   T r i b u t a r i o s & g t ; - & l t ; M e a s u r e s \ %   V a r .   I n t e r a n u a l   T r i b u t a r i o s & g t ; \ C O L U M N < / K e y > < / D i a g r a m O b j e c t K e y > < D i a g r a m O b j e c t K e y > < K e y > L i n k s \ & l t ; C o l u m n s \ S u m a   d e   %   V a r .   I n t e r a n u a l   T r i b u t a r i o s & g t ; - & l t ; M e a s u r e s \ %   V a r .   I n t e r a n u a l   T r i b u t a r i o s & g t ; \ M E A S U R E < / K e y > < / D i a g r a m O b j e c t K e y > < D i a g r a m O b j e c t K e y > < K e y > L i n k s \ & l t ; C o l u m n s \ S u m a   d e   %   V a r .   I n t e r a n u a l   R e m u n . & g t ; - & l t ; M e a s u r e s \ %   V a r .   I n t e r a n u a l   R e m u n . & g t ; < / K e y > < / D i a g r a m O b j e c t K e y > < D i a g r a m O b j e c t K e y > < K e y > L i n k s \ & l t ; C o l u m n s \ S u m a   d e   %   V a r .   I n t e r a n u a l   R e m u n . & g t ; - & l t ; M e a s u r e s \ %   V a r .   I n t e r a n u a l   R e m u n . & g t ; \ C O L U M N < / K e y > < / D i a g r a m O b j e c t K e y > < D i a g r a m O b j e c t K e y > < K e y > L i n k s \ & l t ; C o l u m n s \ S u m a   d e   %   V a r .   I n t e r a n u a l   R e m u n . & g t ; - & l t ; M e a s u r e s \ %   V a r .   I n t e r a n u a l   R e m u n . & g t ; \ M E A S U R E < / K e y > < / D i a g r a m O b j e c t K e y > < D i a g r a m O b j e c t K e y > < K e y > L i n k s \ & l t ; C o l u m n s \ S u m a   d e   %   V a r .   A c u m u l a d o   R e m u n . & g t ; - & l t ; M e a s u r e s \ %   V a r .   A c u m u l a d o   R e m u n . & g t ; < / K e y > < / D i a g r a m O b j e c t K e y > < D i a g r a m O b j e c t K e y > < K e y > L i n k s \ & l t ; C o l u m n s \ S u m a   d e   %   V a r .   A c u m u l a d o   R e m u n . & g t ; - & l t ; M e a s u r e s \ %   V a r .   A c u m u l a d o   R e m u n . & g t ; \ C O L U M N < / K e y > < / D i a g r a m O b j e c t K e y > < D i a g r a m O b j e c t K e y > < K e y > L i n k s \ & l t ; C o l u m n s \ S u m a   d e   %   V a r .   A c u m u l a d o   R e m u n . & g t ; - & l t ; M e a s u r e s \ %   V a r .   A c u m u l a d o   R e m u n . & g t ; \ M E A S U R E < / K e y > < / D i a g r a m O b j e c t K e y > < D i a g r a m O b j e c t K e y > < K e y > L i n k s \ & l t ; C o l u m n s \ S u m a   d e   S u e l d o s & g t ; - & l t ; M e a s u r e s \ S u e l d o s & g t ; < / K e y > < / D i a g r a m O b j e c t K e y > < D i a g r a m O b j e c t K e y > < K e y > L i n k s \ & l t ; C o l u m n s \ S u m a   d e   S u e l d o s & g t ; - & l t ; M e a s u r e s \ S u e l d o s & g t ; \ C O L U M N < / K e y > < / D i a g r a m O b j e c t K e y > < D i a g r a m O b j e c t K e y > < K e y > L i n k s \ & l t ; C o l u m n s \ S u m a   d e   S u e l d o s & g t ; - & l t ; M e a s u r e s \ S u e l d o s & g t ; \ M E A S U R E < / K e y > < / D i a g r a m O b j e c t K e y > < D i a g r a m O b j e c t K e y > < K e y > L i n k s \ & l t ; C o l u m n s \ S u m a   d e   O t r a s   r e m u n e r a c i o n e s & g t ; - & l t ; M e a s u r e s \ O t r a s   r e m u n e r a c i o n e s & g t ; < / K e y > < / D i a g r a m O b j e c t K e y > < D i a g r a m O b j e c t K e y > < K e y > L i n k s \ & l t ; C o l u m n s \ S u m a   d e   O t r a s   r e m u n e r a c i o n e s & g t ; - & l t ; M e a s u r e s \ O t r a s   r e m u n e r a c i o n e s & g t ; \ C O L U M N < / K e y > < / D i a g r a m O b j e c t K e y > < D i a g r a m O b j e c t K e y > < K e y > L i n k s \ & l t ; C o l u m n s \ S u m a   d e   O t r a s   r e m u n e r a c i o n e s & g t ; - & l t ; M e a s u r e s \ O t r a s   r e m u n e r a c i o n e s & g t ; \ M E A S U R E < / K e y > < / D i a g r a m O b j e c t K e y > < D i a g r a m O b j e c t K e y > < K e y > L i n k s \ & l t ; C o l u m n s \ S u m a   d e   S a l a r i o s   L e y   d e   E m e r g e n c i a & g t ; - & l t ; M e a s u r e s \ S a l a r i o s   L e y   d e   E m e r g e n c i a & g t ; < / K e y > < / D i a g r a m O b j e c t K e y > < D i a g r a m O b j e c t K e y > < K e y > L i n k s \ & l t ; C o l u m n s \ S u m a   d e   S a l a r i o s   L e y   d e   E m e r g e n c i a & g t ; - & l t ; M e a s u r e s \ S a l a r i o s   L e y   d e   E m e r g e n c i a & g t ; \ C O L U M N < / K e y > < / D i a g r a m O b j e c t K e y > < D i a g r a m O b j e c t K e y > < K e y > L i n k s \ & l t ; C o l u m n s \ S u m a   d e   S a l a r i o s   L e y   d e   E m e r g e n c i a & g t ; - & l t ; M e a s u r e s \ S a l a r i o s   L e y   d e   E m e r g e n c i a & g t ; \ M E A S U R E < / K e y > < / D i a g r a m O b j e c t K e y > < D i a g r a m O b j e c t K e y > < K e y > L i n k s \ & l t ; C o l u m n s \ S u m a   d e   F F P P & g t ; - & l t ; M e a s u r e s \ F F P P & g t ; < / K e y > < / D i a g r a m O b j e c t K e y > < D i a g r a m O b j e c t K e y > < K e y > L i n k s \ & l t ; C o l u m n s \ S u m a   d e   F F P P & g t ; - & l t ; M e a s u r e s \ F F P P & g t ; \ C O L U M N < / K e y > < / D i a g r a m O b j e c t K e y > < D i a g r a m O b j e c t K e y > < K e y > L i n k s \ & l t ; C o l u m n s \ S u m a   d e   F F P P & g t ; - & l t ; M e a s u r e s \ F F P P & g t ; \ M E A S U R E < / K e y > < / D i a g r a m O b j e c t K e y > < D i a g r a m O b j e c t K e y > < K e y > L i n k s \ & l t ; C o l u m n s \ S u m a   d e   M E C & g t ; - & l t ; M e a s u r e s \ M E C & g t ; < / K e y > < / D i a g r a m O b j e c t K e y > < D i a g r a m O b j e c t K e y > < K e y > L i n k s \ & l t ; C o l u m n s \ S u m a   d e   M E C & g t ; - & l t ; M e a s u r e s \ M E C & g t ; \ C O L U M N < / K e y > < / D i a g r a m O b j e c t K e y > < D i a g r a m O b j e c t K e y > < K e y > L i n k s \ & l t ; C o l u m n s \ S u m a   d e   M E C & g t ; - & l t ; M e a s u r e s \ M E C & g t ; \ M E A S U R E < / K e y > < / D i a g r a m O b j e c t K e y > < D i a g r a m O b j e c t K e y > < K e y > L i n k s \ & l t ; C o l u m n s \ S u m a   d e   M S P B S & g t ; - & l t ; M e a s u r e s \ M S P B S & g t ; < / K e y > < / D i a g r a m O b j e c t K e y > < D i a g r a m O b j e c t K e y > < K e y > L i n k s \ & l t ; C o l u m n s \ S u m a   d e   M S P B S & g t ; - & l t ; M e a s u r e s \ M S P B S & g t ; \ C O L U M N < / K e y > < / D i a g r a m O b j e c t K e y > < D i a g r a m O b j e c t K e y > < K e y > L i n k s \ & l t ; C o l u m n s \ S u m a   d e   M S P B S & g t ; - & l t ; M e a s u r e s \ M S P B S & g t ; \ M E A S U R E < / K e y > < / D i a g r a m O b j e c t K e y > < D i a g r a m O b j e c t K e y > < K e y > L i n k s \ & l t ; C o l u m n s \ S u m a   d e   H o s p i t a l   d e   C l � n i c a s & g t ; - & l t ; M e a s u r e s \ H o s p i t a l   d e   C l � n i c a s & g t ; < / K e y > < / D i a g r a m O b j e c t K e y > < D i a g r a m O b j e c t K e y > < K e y > L i n k s \ & l t ; C o l u m n s \ S u m a   d e   H o s p i t a l   d e   C l � n i c a s & g t ; - & l t ; M e a s u r e s \ H o s p i t a l   d e   C l � n i c a s & g t ; \ C O L U M N < / K e y > < / D i a g r a m O b j e c t K e y > < D i a g r a m O b j e c t K e y > < K e y > L i n k s \ & l t ; C o l u m n s \ S u m a   d e   H o s p i t a l   d e   C l � n i c a s & g t ; - & l t ; M e a s u r e s \ H o s p i t a l   d e   C l � n i c a s & g t ; \ M E A S U R E < / K e y > < / D i a g r a m O b j e c t K e y > < D i a g r a m O b j e c t K e y > < K e y > L i n k s \ & l t ; C o l u m n s \ S u m a   d e   %   V a r   i n t e r a n u a l   A N A N F & g t ; - & l t ; M e a s u r e s \ %   V a r   i n t e r a n u a l   A N A N F & g t ; < / K e y > < / D i a g r a m O b j e c t K e y > < D i a g r a m O b j e c t K e y > < K e y > L i n k s \ & l t ; C o l u m n s \ S u m a   d e   %   V a r   i n t e r a n u a l   A N A N F & g t ; - & l t ; M e a s u r e s \ %   V a r   i n t e r a n u a l   A N A N F & g t ; \ C O L U M N < / K e y > < / D i a g r a m O b j e c t K e y > < D i a g r a m O b j e c t K e y > < K e y > L i n k s \ & l t ; C o l u m n s \ S u m a   d e   %   V a r   i n t e r a n u a l   A N A N F & g t ; - & l t ; M e a s u r e s \ %   V a r   i n t e r a n u a l   A N A N F & g t ; \ M E A S U R E < / K e y > < / D i a g r a m O b j e c t K e y > < D i a g r a m O b j e c t K e y > < K e y > L i n k s \ & l t ; C o l u m n s \ S u m a   d e   I n g r e s o   T o t a l   ( %   d e l   P I B ) & g t ; - & l t ; M e a s u r e s \ I n g r e s o   T o t a l   ( %   d e l   P I B ) & g t ; < / K e y > < / D i a g r a m O b j e c t K e y > < D i a g r a m O b j e c t K e y > < K e y > L i n k s \ & l t ; C o l u m n s \ S u m a   d e   I n g r e s o   T o t a l   ( %   d e l   P I B ) & g t ; - & l t ; M e a s u r e s \ I n g r e s o   T o t a l   ( %   d e l   P I B ) & g t ; \ C O L U M N < / K e y > < / D i a g r a m O b j e c t K e y > < D i a g r a m O b j e c t K e y > < K e y > L i n k s \ & l t ; C o l u m n s \ S u m a   d e   I n g r e s o   T o t a l   ( %   d e l   P I B ) & g t ; - & l t ; M e a s u r e s \ I n g r e s o   T o t a l   ( %   d e l   P I B ) & g t ; \ M E A S U R E < / K e y > < / D i a g r a m O b j e c t K e y > < D i a g r a m O b j e c t K e y > < K e y > L i n k s \ & l t ; C o l u m n s \ S u m a   d e   G a s t o   T o t a l   ( %   d e l   P I B ) & g t ; - & l t ; M e a s u r e s \ G a s t o   T o t a l   ( %   d e l   P I B ) & g t ; < / K e y > < / D i a g r a m O b j e c t K e y > < D i a g r a m O b j e c t K e y > < K e y > L i n k s \ & l t ; C o l u m n s \ S u m a   d e   G a s t o   T o t a l   ( %   d e l   P I B ) & g t ; - & l t ; M e a s u r e s \ G a s t o   T o t a l   ( %   d e l   P I B ) & g t ; \ C O L U M N < / K e y > < / D i a g r a m O b j e c t K e y > < D i a g r a m O b j e c t K e y > < K e y > L i n k s \ & l t ; C o l u m n s \ S u m a   d e   G a s t o   T o t a l   ( %   d e l   P I B ) & g t ; - & l t ; M e a s u r e s \ G a s t o   T o t a l   ( %   d e l   P I B ) & g t ; \ M E A S U R E < / K e y > < / D i a g r a m O b j e c t K e y > < D i a g r a m O b j e c t K e y > < K e y > L i n k s \ & l t ; C o l u m n s \ S u m a   d e   R O N   P r i m a r i o   ( %   d e l   P I B ) & g t ; - & l t ; M e a s u r e s \ R O N   P r i m a r i o   ( %   d e l   P I B ) & g t ; < / K e y > < / D i a g r a m O b j e c t K e y > < D i a g r a m O b j e c t K e y > < K e y > L i n k s \ & l t ; C o l u m n s \ S u m a   d e   R O N   P r i m a r i o   ( %   d e l   P I B ) & g t ; - & l t ; M e a s u r e s \ R O N   P r i m a r i o   ( %   d e l   P I B ) & g t ; \ C O L U M N < / K e y > < / D i a g r a m O b j e c t K e y > < D i a g r a m O b j e c t K e y > < K e y > L i n k s \ & l t ; C o l u m n s \ S u m a   d e   R O N   P r i m a r i o   ( %   d e l   P I B ) & g t ; - & l t ; M e a s u r e s \ R O N   P r i m a r i o   ( %   d e l   P I B ) & g t ; \ M E A S U R E < / K e y > < / D i a g r a m O b j e c t K e y > < D i a g r a m O b j e c t K e y > < K e y > L i n k s \ & l t ; C o l u m n s \ S u m a   d e   G a s t o + I n v e r s i � n   ( %   P I B ) & g t ; - & l t ; M e a s u r e s \ G a s t o + I n v e r s i � n   ( %   P I B ) & g t ; < / K e y > < / D i a g r a m O b j e c t K e y > < D i a g r a m O b j e c t K e y > < K e y > L i n k s \ & l t ; C o l u m n s \ S u m a   d e   G a s t o + I n v e r s i � n   ( %   P I B ) & g t ; - & l t ; M e a s u r e s \ G a s t o + I n v e r s i � n   ( %   P I B ) & g t ; \ C O L U M N < / K e y > < / D i a g r a m O b j e c t K e y > < D i a g r a m O b j e c t K e y > < K e y > L i n k s \ & l t ; C o l u m n s \ S u m a   d e   G a s t o + I n v e r s i � n   ( %   P I B ) & g t ; - & l t ; M e a s u r e s \ G a s t o + I n v e r s i � n   ( %   P I B ) & g t ; \ M E A S U R E < / K e y > < / D i a g r a m O b j e c t K e y > < D i a g r a m O b j e c t K e y > < K e y > L i n k s \ & l t ; C o l u m n s \ S u m a   d e   %   V a r .   I n t e r a n u a l   S E T & g t ; - & l t ; M e a s u r e s \ %   V a r .   I n t e r a n u a l   S E T & g t ; < / K e y > < / D i a g r a m O b j e c t K e y > < D i a g r a m O b j e c t K e y > < K e y > L i n k s \ & l t ; C o l u m n s \ S u m a   d e   %   V a r .   I n t e r a n u a l   S E T & g t ; - & l t ; M e a s u r e s \ %   V a r .   I n t e r a n u a l   S E T & g t ; \ C O L U M N < / K e y > < / D i a g r a m O b j e c t K e y > < D i a g r a m O b j e c t K e y > < K e y > L i n k s \ & l t ; C o l u m n s \ S u m a   d e   %   V a r .   I n t e r a n u a l   S E T & g t ; - & l t ; M e a s u r e s \ %   V a r .   I n t e r a n u a l   S E T & g t ; \ M E A S U R E < / K e y > < / D i a g r a m O b j e c t K e y > < D i a g r a m O b j e c t K e y > < K e y > L i n k s \ & l t ; C o l u m n s \ S u m a   d e   %   V a r .   I n t e r a n u a l   D N A & g t ; - & l t ; M e a s u r e s \ %   V a r .   I n t e r a n u a l   D N A & g t ; < / K e y > < / D i a g r a m O b j e c t K e y > < D i a g r a m O b j e c t K e y > < K e y > L i n k s \ & l t ; C o l u m n s \ S u m a   d e   %   V a r .   I n t e r a n u a l   D N A & g t ; - & l t ; M e a s u r e s \ %   V a r .   I n t e r a n u a l   D N A & g t ; \ C O L U M N < / K e y > < / D i a g r a m O b j e c t K e y > < D i a g r a m O b j e c t K e y > < K e y > L i n k s \ & l t ; C o l u m n s \ S u m a   d e   %   V a r .   I n t e r a n u a l   D N A & g t ; - & l t ; M e a s u r e s \ %   V a r .   I n t e r a n u a l   D N A & g t ; \ M E A S U R E < / K e y > < / D i a g r a m O b j e c t K e y > < D i a g r a m O b j e c t K e y > < K e y > L i n k s \ & l t ; C o l u m n s \ S u m a   d e   R e s u l t a d o   F i s c a l   ( m i l l o n e s   d e   U S $ ) & g t ; - & l t ; M e a s u r e s \ R e s u l t a d o   F i s c a l   ( m i l l o n e s   d e   U S $ ) & g t ; < / K e y > < / D i a g r a m O b j e c t K e y > < D i a g r a m O b j e c t K e y > < K e y > L i n k s \ & l t ; C o l u m n s \ S u m a   d e   R e s u l t a d o   F i s c a l   ( m i l l o n e s   d e   U S $ ) & g t ; - & l t ; M e a s u r e s \ R e s u l t a d o   F i s c a l   ( m i l l o n e s   d e   U S $ ) & g t ; \ C O L U M N < / K e y > < / D i a g r a m O b j e c t K e y > < D i a g r a m O b j e c t K e y > < K e y > L i n k s \ & l t ; C o l u m n s \ S u m a   d e   R e s u l t a d o   F i s c a l   ( m i l l o n e s   d e   U S $ ) & g t ; - & l t ; M e a s u r e s \ R e s u l t a d o   F i s c a l   ( m i l l o n e s   d e   U S $ ) & g t ; \ M E A S U R E < / K e y > < / D i a g r a m O b j e c t K e y > < D i a g r a m O b j e c t K e y > < K e y > L i n k s \ & l t ; C o l u m n s \ S u m a   d e   C o n t r i b u c i o n e s   S o c i a l e s & g t ; - & l t ; M e a s u r e s \ C o n t r i b u c i o n e s   S o c i a l e s & g t ; < / K e y > < / D i a g r a m O b j e c t K e y > < D i a g r a m O b j e c t K e y > < K e y > L i n k s \ & l t ; C o l u m n s \ S u m a   d e   C o n t r i b u c i o n e s   S o c i a l e s & g t ; - & l t ; M e a s u r e s \ C o n t r i b u c i o n e s   S o c i a l e s & g t ; \ C O L U M N < / K e y > < / D i a g r a m O b j e c t K e y > < D i a g r a m O b j e c t K e y > < K e y > L i n k s \ & l t ; C o l u m n s \ S u m a   d e   C o n t r i b u c i o n e s   S o c i a l e s & g t ; - & l t ; M e a s u r e s \ C o n t r i b u c i o n e s   S o c i a l e s & g t ; \ M E A S U R E < / K e y > < / D i a g r a m O b j e c t K e y > < D i a g r a m O b j e c t K e y > < K e y > L i n k s \ & l t ; C o l u m n s \ S u m a   d e   D o n a c i o n e s & g t ; - & l t ; M e a s u r e s \ D o n a c i o n e s & g t ; < / K e y > < / D i a g r a m O b j e c t K e y > < D i a g r a m O b j e c t K e y > < K e y > L i n k s \ & l t ; C o l u m n s \ S u m a   d e   D o n a c i o n e s & g t ; - & l t ; M e a s u r e s \ D o n a c i o n e s & g t ; \ C O L U M N < / K e y > < / D i a g r a m O b j e c t K e y > < D i a g r a m O b j e c t K e y > < K e y > L i n k s \ & l t ; C o l u m n s \ S u m a   d e   D o n a c i o n e s & g t ; - & l t ; M e a s u r e s \ D o n a c i o n e s & g t ; \ M E A S U R E < / K e y > < / D i a g r a m O b j e c t K e y > < D i a g r a m O b j e c t K e y > < K e y > L i n k s \ & l t ; C o l u m n s \ S u m a   d e   O t r o s   I n g r e s o s & g t ; - & l t ; M e a s u r e s \ O t r o s   I n g r e s o s & g t ; < / K e y > < / D i a g r a m O b j e c t K e y > < D i a g r a m O b j e c t K e y > < K e y > L i n k s \ & l t ; C o l u m n s \ S u m a   d e   O t r o s   I n g r e s o s & g t ; - & l t ; M e a s u r e s \ O t r o s   I n g r e s o s & g t ; \ C O L U M N < / K e y > < / D i a g r a m O b j e c t K e y > < D i a g r a m O b j e c t K e y > < K e y > L i n k s \ & l t ; C o l u m n s \ S u m a   d e   O t r o s   I n g r e s o s & g t ; - & l t ; M e a s u r e s \ O t r o s   I n g r e s o s & g t ; \ M E A S U R E < / K e y > < / D i a g r a m O b j e c t K e y > < D i a g r a m O b j e c t K e y > < K e y > L i n k s \ & l t ; C o l u m n s \ S u m a   d e   A d q u i s i c i � n   N e t a   d e   A c t i v o s   n o   F i n a n c i e r o s & g t ; - & l t ; M e a s u r e s \ A d q u i s i c i � n   N e t a   d e   A c t i v o s   n o   F i n a n c i e r o s & g t ; < / K e y > < / D i a g r a m O b j e c t K e y > < D i a g r a m O b j e c t K e y > < K e y > L i n k s \ & l t ; C o l u m n s \ S u m a   d e   A d q u i s i c i � n   N e t a   d e   A c t i v o s   n o   F i n a n c i e r o s & g t ; - & l t ; M e a s u r e s \ A d q u i s i c i � n   N e t a   d e   A c t i v o s   n o   F i n a n c i e r o s & g t ; \ C O L U M N < / K e y > < / D i a g r a m O b j e c t K e y > < D i a g r a m O b j e c t K e y > < K e y > L i n k s \ & l t ; C o l u m n s \ S u m a   d e   A d q u i s i c i � n   N e t a   d e   A c t i v o s   n o   F i n a n c i e r o s & g t ; - & l t ; M e a s u r e s \ A d q u i s i c i � n   N e t a   d e   A c t i v o s   n o   F i n a n c i e r o s & g t ; \ M E A S U R E < / K e y > < / D i a g r a m O b j e c t K e y > < D i a g r a m O b j e c t K e y > < K e y > L i n k s \ & l t ; C o l u m n s \ S u m a   d e   M O P C & g t ; - & l t ; M e a s u r e s \ M O P C & g t ; < / K e y > < / D i a g r a m O b j e c t K e y > < D i a g r a m O b j e c t K e y > < K e y > L i n k s \ & l t ; C o l u m n s \ S u m a   d e   M O P C & g t ; - & l t ; M e a s u r e s \ M O P C & g t ; \ C O L U M N < / K e y > < / D i a g r a m O b j e c t K e y > < D i a g r a m O b j e c t K e y > < K e y > L i n k s \ & l t ; C o l u m n s \ S u m a   d e   M O P C & g t ; - & l t ; M e a s u r e s \ M O P C & g t ; \ M E A S U R E < / K e y > < / D i a g r a m O b j e c t K e y > < D i a g r a m O b j e c t K e y > < K e y > L i n k s \ & l t ; C o l u m n s \ S u m a   d e   M H & g t ; - & l t ; M e a s u r e s \ M H & g t ; < / K e y > < / D i a g r a m O b j e c t K e y > < D i a g r a m O b j e c t K e y > < K e y > L i n k s \ & l t ; C o l u m n s \ S u m a   d e   M H & g t ; - & l t ; M e a s u r e s \ M H & g t ; \ C O L U M N < / K e y > < / D i a g r a m O b j e c t K e y > < D i a g r a m O b j e c t K e y > < K e y > L i n k s \ & l t ; C o l u m n s \ S u m a   d e   M H & g t ; - & l t ; M e a s u r e s \ M H & g t ; \ M E A S U R E < / K e y > < / D i a g r a m O b j e c t K e y > < D i a g r a m O b j e c t K e y > < K e y > L i n k s \ & l t ; C o l u m n s \ S u m a   d e   M J & g t ; - & l t ; M e a s u r e s \ M J & g t ; < / K e y > < / D i a g r a m O b j e c t K e y > < D i a g r a m O b j e c t K e y > < K e y > L i n k s \ & l t ; C o l u m n s \ S u m a   d e   M J & g t ; - & l t ; M e a s u r e s \ M J & g t ; \ C O L U M N < / K e y > < / D i a g r a m O b j e c t K e y > < D i a g r a m O b j e c t K e y > < K e y > L i n k s \ & l t ; C o l u m n s \ S u m a   d e   M J & g t ; - & l t ; M e a s u r e s \ M J & g t ; \ M E A S U R E < / K e y > < / D i a g r a m O b j e c t K e y > < D i a g r a m O b j e c t K e y > < K e y > L i n k s \ & l t ; C o l u m n s \ S u m a   d e   M T E S S & g t ; - & l t ; M e a s u r e s \ M T E S S & g t ; < / K e y > < / D i a g r a m O b j e c t K e y > < D i a g r a m O b j e c t K e y > < K e y > L i n k s \ & l t ; C o l u m n s \ S u m a   d e   M T E S S & g t ; - & l t ; M e a s u r e s \ M T E S S & g t ; \ C O L U M N < / K e y > < / D i a g r a m O b j e c t K e y > < D i a g r a m O b j e c t K e y > < K e y > L i n k s \ & l t ; C o l u m n s \ S u m a   d e   M T E S S & g t ; - & l t ; M e a s u r e s \ M T E S S & g t ; \ M E A S U R E 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 M e a s u r e s \ I n g r e s o  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 M e a s u r e s \ I n g r e s o 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 M e a s u r e s \ I n g r e s o 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 M e a s u r e s \ I n g r e s o   p e r i o d o   a n t e r i o r 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 M e a s u r e s \ I n g r e s o   p e r i o d o   a n t e r i o r \ T a g I n f o \ F � r m u l a 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 M e a s u r e s \ I n g r e s o   p e r i o d o   a n t e r i o r \ T a g I n f o \ V a l o r 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 M e a s u r e s \ R e s t o 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 M e a s u r e s \ R e s t o \ T a g I n f o \ F � r m u l a 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 M e a s u r e s \ R e s t o \ T a g I n f o \ V a l o r 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 M e a s u r e s \ S S P P / I n g r e s o s   T r i b u a r i o s 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 M e a s u r e s \ S S P P / I n g r e s o s   T r i b u a r i o s \ T a g I n f o \ F � r m u l a 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 M e a s u r e s \ S S P P / I n g r e s o s   T r i b u a r i o s \ T a g I n f o \ V a l o r 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 V a r   i n g r e s o   t o t a l 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 M e a s u r e s \ %   V a r   i n g r e s o 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 V a r   i n g r e s o 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 I n g r e s o   T o t a l   ( R e c a u d a d o ) 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 I n g r e s o   T o t a l   ( R e c a u d a d o ) \ T a g I n f o \ F � r m u l a 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 I n g r e s o   T o t a l   ( R e c a u d a d o ) \ T a g I n f o \ V a l o r 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 I n g r e s o s   T r i b u t a r i o s 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 I n g r e s o s   T r i b u t a r i o s \ T a g I n f o \ F � r m u l a 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 I n g r e s o s   T r i b u t a r i o s \ T a g I n f o \ V a l o r 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 B i n a c i o n a l e s < / K e y > < / a : K e y > < a : V a l u e   i : t y p e = " M e a s u r e G r i d N o d e V i e w S t a t e " > < C o l u m n > 2 4 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 B i n a c i o n a l e s \ T a g I n f o \ F � r m u l a 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 B i n a c i o n a l e s \ T a g I n f o \ V a l o r 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 P r e s i � n   T r i b u t a r i a 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 P r e s i � n   T r i b u t a r i a \ T a g I n f o \ F � r m u l a 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 P r e s i � n   T r i b u t a r i a \ T a g I n f o \ V a l o r 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 S E T 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 S E T \ T a g I n f o \ F � r m u l a 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 S E T \ T a g I n f o \ V a l o r 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 D N A 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 D N A \ T a g I n f o \ F � r m u l a 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 A n u a l i z a d o   S E T 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 A n u a l i z a d o   S E T \ T a g I n f o \ F � r m u l a 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 A n u a l i z a d o   S E T \ T a g I n f o \ V a l o r 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 A n u a l i z a d o   D N A < / K e y > < / a : K e y > < a : V a l u e   i : t y p e = " M e a s u r e G r i d N o d e V i e w S t a t e " > < C o l u m n > 1 3 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 A n u a l i z a d o   D N A \ T a g I n f o \ F � r m u l a 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 A n u a l i z a d o   D N A \ T a g I n f o \ V a l o r 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 I t a i p �   ( m i l l o n e s   d e   U S $ ) < / K e y > < / a : K e y > < a : V a l u e   i : t y p e = " M e a s u r e G r i d N o d e V i e w S t a t e " > < C o l u m n > 2 1 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 I t a i p �   ( m i l l o n e s   d e   U S $ ) \ T a g I n f o \ F � r m u l a 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 I t a i p �   ( m i l l o n e s   d e   U S $ ) \ T a g I n f o \ V a l o r 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 Y a c y r e t �   ( e n   m i l l o n e s   d e   U S $ ) < / K e y > < / a : K e y > < a : V a l u e   i : t y p e = " M e a s u r e G r i d N o d e V i e w S t a t e " > < C o l u m n > 2 3 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 Y a c y r e t �   ( e n   m i l l o n e s   d e   U S $ ) \ T a g I n f o \ F � r m u l a 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 Y a c y r e t �   ( e n   m i l l o n e s   d e   U S $ ) \ T a g I n f o \ V a l o r 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  T o t a l   ( O b l i g a d o ) < / K e y > < / a : K e y > < a : V a l u e   i : t y p e = " M e a s u r e G r i d N o d e V i e w S t a t e " > < C o l u m n > 2 6 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 G a s t o   T o t a l   ( O b l i g a d o ) \ T a g I n f o \ F � r m u l a 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  T o t a l   ( O b l i g a d o ) \ T a g I n f o \ V a l o r 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 R e m u n e r a c i � n   a   l o s   E m p l e a d o s < / K e y > < / a : K e y > < a : V a l u e   i : t y p e = " M e a s u r e G r i d N o d e V i e w S t a t e " > < C o l u m n > 2 9 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 R e m u n e r a c i � n   a   l o s   E m p l e a d o s \ T a g I n f o \ F � r m u l a 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 R e m u n e r a c i � n   a   l o s   E m p l e a d o s \ T a g I n f o \ V a l o r 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 U s o   d e   B i e n e s   y   S e r v i c i o s < / K e y > < / a : K e y > < a : V a l u e   i : t y p e = " M e a s u r e G r i d N o d e V i e w S t a t e " > < C o l u m n > 3 2 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 U s o   d e   B i e n e s   y   S e r v i c i o s \ T a g I n f o \ F � r m u l a 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 U s o   d e   B i e n e s   y   S e r v i c i o s \ T a g I n f o \ V a l o r 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 I n t e r e s e s < / K e y > < / a : K e y > < a : V a l u e   i : t y p e = " M e a s u r e G r i d N o d e V i e w S t a t e " > < C o l u m n > 3 3 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 I n t e r e s e s \ T a g I n f o \ F � r m u l a 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 I n t e r e s e s \ T a g I n f o \ V a l o r 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 D o n a c i o n e s   ( G a s t o ) < / K e y > < / a : K e y > < a : V a l u e   i : t y p e = " M e a s u r e G r i d N o d e V i e w S t a t e " > < C o l u m n > 3 5 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 D o n a c i o n e s   ( G a s t o ) \ T a g I n f o \ F � r m u l a 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 D o n a c i o n e s   ( G a s t o ) \ T a g I n f o \ V a l o r 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 P r e s t a c i o n e s   S o c i a l e s < / K e y > < / a : K e y > < a : V a l u e   i : t y p e = " M e a s u r e G r i d N o d e V i e w S t a t e " > < C o l u m n > 3 6 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 P r e s t a c i o n e s   S o c i a l e s \ T a g I n f o \ F � r m u l a 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 P r e s t a c i o n e s   S o c i a l e s \ T a g I n f o \ V a l o r 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 O t r o s   G a s t o s < / K e y > < / a : K e y > < a : V a l u e   i : t y p e = " M e a s u r e G r i d N o d e V i e w S t a t e " > < C o l u m n > 3 7 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 O t r o s   G a s t o s \ T a g I n f o \ F � r m u l a 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 O t r o s   G a s t o s \ T a g I n f o \ V a l o r 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 ( %   d e l   P I B ) < / K e y > < / a : K e y > < a : V a l u e   i : t y p e = " M e a s u r e G r i d N o d e V i e w S t a t e " > < C o l u m n > 3 9 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 R O N 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 M O P C   ( m m   U S $ ) < / K e y > < / a : K e y > < a : V a l u e   i : t y p e = " M e a s u r e G r i d N o d e V i e w S t a t e " > < C o l u m n > 4 5 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 M O P C   ( m m   U S $ ) \ T a g I n f o \ F � r m u l a 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 M O P C   ( m m   U S $ ) \ T a g I n f o \ V a l o r 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 O t r a s   e n t i d a d e s   ( m m   U S $ ) < / K e y > < / a : K e y > < a : V a l u e   i : t y p e = " M e a s u r e G r i d N o d e V i e w S t a t e " > < C o l u m n > 4 7 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 O t r a s   e n t i d a d e s   ( m m   U S $ ) \ T a g I n f o \ F � r m u l a 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 O t r a s   e n t i d a d e s   ( m m   U S $ ) \ T a g I n f o \ V a l o r 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 ( m m   U S $ ) < / K e y > < / a : K e y > < a : V a l u e   i : t y p e = " M e a s u r e G r i d N o d e V i e w S t a t e " > < C o l u m n > 4 3 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 A N A N F   ( m m   U S $ ) \ T a g I n f o \ F � r m u l a 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 ( m m   U S $ ) \ T a g I n f o \ V a l o r 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 ( %   d e l   P I B ) < / K e y > < / a : K e y > < a : V a l u e   i : t y p e = " M e a s u r e G r i d N o d e V i e w S t a t e " > < C o l u m n > 5 1 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 R e s u l t a d o   F i s c a l 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 S S P P   f i n a n c i a d o s   c o n   I n g r e s o s   T r i b u t a r i o s < / K e y > < / a : K e y > < a : V a l u e   i : t y p e = " M e a s u r e G r i d N o d e V i e w S t a t e " > < C o l u m n > 5 4 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 S S P P   f i n a n c i a d o s   c o n   I n g r e s o s   T r i b u t a r i o s \ T a g I n f o \ F � r m u l a 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 S S P P   f i n a n c i a d o s   c o n   I n g r e s o s   T r i b u t a r i o s \ T a g I n f o \ V a l o r 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 p r i m a r i o   ( %   d e l   P I B ) < / K e y > < / a : K e y > < a : V a l u e   i : t y p e = " M e a s u r e G r i d N o d e V i e w S t a t e " > < C o l u m n > 5 6 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 R e s u l t a d o   f i s c a l   p r i m a r i o 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 p r i m a r i o 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 a n u a l i z a d o   ( %   d e l   P I B ) < / K e y > < / a : K e y > < a : V a l u e   i : t y p e = " M e a s u r e G r i d N o d e V i e w S t a t e " > < C o l u m n > 6 3 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 R O N   a n u a l i z a d o 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 a n u a l i z a d o 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 a n u a l i z a d o   ( %   d e l   P I B ) < / K e y > < / a : K e y > < a : V a l u e   i : t y p e = " M e a s u r e G r i d N o d e V i e w S t a t e " > < C o l u m n > 6 5 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 A N A N F   a n u a l i z a d o 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 a n u a l i z a d o 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 a n u a l i z a d o   ( %   d e l   P I B ) < / K e y > < / a : K e y > < a : V a l u e   i : t y p e = " M e a s u r e G r i d N o d e V i e w S t a t e " > < C o l u m n > 5 3 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 R e s u l t a d o   f i s c a l   a n u a l i z a d o 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 a n u a l i z a d o 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 ( %   d e l   P I B ) < / K e y > < / a : K e y > < a : V a l u e   i : t y p e = " M e a s u r e G r i d N o d e V i e w S t a t e " > < C o l u m n > 8 3 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 A N A N F 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 I T   S u m a   1 2   m e s e s < / K e y > < / a : K e y > < a : V a l u e   i : t y p e = " M e a s u r e G r i d N o d e V i e w S t a t e " > < C o l u m n > 5 7 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 I T   S u m a 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 I T   S u m a 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 T r i b u t a r i o s   s u m a   1 2   m e s e s < / K e y > < / a : K e y > < a : V a l u e   i : t y p e = " M e a s u r e G r i d N o d e V i e w S t a t e " > < C o l u m n > 5 8 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 T r i b u t a r i o s   s u m a 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 T r i b u t a r i o s   s u m a 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 S E T   s u m a   1 2   m e s e s < / K e y > < / a : K e y > < a : V a l u e   i : t y p e = " M e a s u r e G r i d N o d e V i e w S t a t e " > < C o l u m n > 5 9 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 S E T   s u m a 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 S E T   s u m a 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 D N A   s u m a   1 2   m e s e s < / K e y > < / a : K e y > < a : V a l u e   i : t y p e = " M e a s u r e G r i d N o d e V i e w S t a t e " > < C o l u m n > 6 0 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 D N A   s u m a 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 D N A   s u m a 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  T o t a l   s u m a   1 2   m e s e s < / K e y > < / a : K e y > < a : V a l u e   i : t y p e = " M e a s u r e G r i d N o d e V i e w S t a t e " > < C o l u m n > 6 1 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 G a s t o   T o t a l   s u m a 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  T o t a l   s u m a 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 a c u m u l a d o   1 2   m e s e s < / K e y > < / a : K e y > < a : V a l u e   i : t y p e = " M e a s u r e G r i d N o d e V i e w S t a t e " > < C o l u m n > 6 2 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 R O N   a c u m u l a d o 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 a c u m u l a d o 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 a c u m u l a d o   1 2   m e s e s < / K e y > < / a : K e y > < a : V a l u e   i : t y p e = " M e a s u r e G r i d N o d e V i e w S t a t e " > < C o l u m n > 6 4 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 A N A N F   a c u m u l a d o   1 2   m e s e s \ T a g I n f o \ F � r m u l a 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 A N A N F   a c u m u l a d o   1 2   m e s e s \ T a g I n f o \ V a l o r 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 a n u a l i z a d o < / K e y > < / a : K e y > < a : V a l u e   i : t y p e = " M e a s u r e G r i d N o d e V i e w S t a t e " > < C o l u m n > 5 2 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 R e s u l t a d o   f i s c a l   a n u a l i z a d o \ T a g I n f o \ F � r m u l a 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 a n u a l i z a d o \ T a g I n f o \ V a l o r 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  i n t e r a n u a l < / K e y > < / a : K e y > < a : V a l u e   i : t y p e = " M e a s u r e G r i d N o d e V i e w S t a t e " > < C o l u m n > 6 8 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  i n t e r a n u a l \ T a g I n f o \ F � r m u l a 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  i n t e r a n u a l \ T a g I n f o \ V a l o r 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 T r i b u t a r i o s < / K e y > < / a : K e y > < a : V a l u e   i : t y p e = " M e a s u r e G r i d N o d e V i e w S t a t e " > < C o l u m n > 9 5 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 I n t e r a n u a l   T r i b u t a r i o s \ T a g I n f o \ F � r m u l a 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 T r i b u t a r i o s \ T a g I n f o \ V a l o r 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 R e m u n . < / K e y > < / a : K e y > < a : V a l u e   i : t y p e = " M e a s u r e G r i d N o d e V i e w S t a t e " > < C o l u m n > 9 1 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 I n t e r a n u a l   R e m u n . \ T a g I n f o \ F � r m u l a 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 R e m u n . \ T a g I n f o \ V a l o r 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 A c u m u l a d o   R e m u n . < / K e y > < / a : K e y > < a : V a l u e   i : t y p e = " M e a s u r e G r i d N o d e V i e w S t a t e " > < C o l u m n > 9 2 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 A c u m u l a d o   R e m u n . \ T a g I n f o \ F � r m u l a 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 A c u m u l a d o   R e m u n . \ T a g I n f o \ V a l o r 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 S u e l d o s < / K e y > < / a : K e y > < a : V a l u e   i : t y p e = " M e a s u r e G r i d N o d e V i e w S t a t e " > < C o l u m n > 3 0 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 S u e l d o s \ T a g I n f o \ F � r m u l a 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 S u e l d o s \ T a g I n f o \ V a l o r 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 O t r a s   r e m u n e r a c i o n e s < / K e y > < / a : K e y > < a : V a l u e   i : t y p e = " M e a s u r e G r i d N o d e V i e w S t a t e " > < C o l u m n > 3 1 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 O t r a s   r e m u n e r a c i o n e s \ T a g I n f o \ F � r m u l a 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 O t r a s   r e m u n e r a c i o n e s \ T a g I n f o \ V a l o r 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 S a l a r i o s   L e y   d e   E m e r g e n c i a < / K e y > < / a : K e y > < a : V a l u e   i : t y p e = " M e a s u r e G r i d N o d e V i e w S t a t e " > < C o l u m n > 9 8 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 S a l a r i o s   L e y   d e   E m e r g e n c i a \ T a g I n f o \ F � r m u l a 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 S a l a r i o s   L e y   d e   E m e r g e n c i a \ T a g I n f o \ V a l o r 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 F F P P < / K e y > < / a : K e y > < a : V a l u e   i : t y p e = " M e a s u r e G r i d N o d e V i e w S t a t e " > < C o l u m n > 9 9 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 F F P P \ T a g I n f o \ F � r m u l a 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 F F P P \ T a g I n f o \ V a l o r 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 M E C < / K e y > < / a : K e y > < a : V a l u e   i : t y p e = " M e a s u r e G r i d N o d e V i e w S t a t e " > < C o l u m n > 1 0 0 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 M E C \ T a g I n f o \ F � r m u l a 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 M E C \ T a g I n f o \ V a l o r 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 M S P B S < / K e y > < / a : K e y > < a : V a l u e   i : t y p e = " M e a s u r e G r i d N o d e V i e w S t a t e " > < C o l u m n > 1 0 1 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 M S P B S \ T a g I n f o \ F � r m u l a 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 M S P B S \ T a g I n f o \ V a l o r 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 H o s p i t a l   d e   C l � n i c a s < / K e y > < / a : K e y > < a : V a l u e   i : t y p e = " M e a s u r e G r i d N o d e V i e w S t a t e " > < C o l u m n > 1 0 2 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 H o s p i t a l   d e   C l � n i c a s \ T a g I n f o \ F � r m u l a 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 H o s p i t a l   d e   C l � n i c a s \ T a g I n f o \ V a l o r 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  i n t e r a n u a l   A N A N F < / K e y > < / a : K e y > < a : V a l u e   i : t y p e = " M e a s u r e G r i d N o d e V i e w S t a t e " > < C o l u m n > 8 0 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  i n t e r a n u a l   A N A N F \ T a g I n f o \ F � r m u l a 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  i n t e r a n u a l   A N A N F \ T a g I n f o \ V a l o r 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 I n g r e s o   T o t a l   ( %   d e l   P I B ) 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 I n g r e s o   T o t a l 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 I n g r e s o   T o t a l 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  T o t a l   ( %   d e l   P I B ) < / K e y > < / a : K e y > < a : V a l u e   i : t y p e = " M e a s u r e G r i d N o d e V i e w S t a t e " > < C o l u m n > 2 7 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 G a s t o   T o t a l 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  T o t a l 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 P r i m a r i o   ( %   d e l   P I B ) < / K e y > < / a : K e y > < a : V a l u e   i : t y p e = " M e a s u r e G r i d N o d e V i e w S t a t e " > < C o l u m n > 4 1 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 R O N   P r i m a r i o   ( %   d e l 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 R O N   P r i m a r i o   ( %   d e l 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 G a s t o + I n v e r s i � n   ( %   P I B ) < / K e y > < / a : K e y > < a : V a l u e   i : t y p e = " M e a s u r e G r i d N o d e V i e w S t a t e " > < C o l u m n > 4 9 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 G a s t o + I n v e r s i � n   ( %   P I B ) \ T a g I n f o \ F � r m u l a 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 G a s t o + I n v e r s i � n   ( %   P I B ) \ T a g I n f o \ V a l o r 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 S E T < / K e y > < / a : K e y > < a : V a l u e   i : t y p e = " M e a s u r e G r i d N o d e V i e w S t a t e " > < C o l u m n > 1 0 4 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 I n t e r a n u a l   S E T \ T a g I n f o \ F � r m u l a 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 S E T \ T a g I n f o \ V a l o r 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 D N A < / K e y > < / a : K e y > < a : V a l u e   i : t y p e = " M e a s u r e G r i d N o d e V i e w S t a t e " > < C o l u m n > 1 0 5 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 %   V a r .   I n t e r a n u a l   D N A \ T a g I n f o \ F � r m u l a 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 %   V a r .   I n t e r a n u a l   D N A \ T a g I n f o \ V a l o r 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 ( m i l l o n e s   d e   U S $ ) < / K e y > < / a : K e y > < a : V a l u e   i : t y p e = " M e a s u r e G r i d N o d e V i e w S t a t e " > < C o l u m n > 1 0 6 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 R e s u l t a d o   F i s c a l   ( m i l l o n e s   d e   U S $ ) \ T a g I n f o \ F � r m u l a 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 R e s u l t a d o   F i s c a l   ( m i l l o n e s   d e   U S $ ) \ T a g I n f o \ V a l o r 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 C o n t r i b u c i o n e s   S o c i a l e s < / K e y > < / a : K e y > < a : V a l u e   i : t y p e = " M e a s u r e G r i d N o d e V i e w S t a t e " > < C o l u m n > 1 4 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 C o n t r i b u c i o n e s   S o c i a l e s \ T a g I n f o \ F � r m u l a 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 C o n t r i b u c i o n e s   S o c i a l e s \ T a g I n f o \ V a l o r 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 D o n a c i o n e s < / K e y > < / a : K e y > < a : V a l u e   i : t y p e = " M e a s u r e G r i d N o d e V i e w S t a t e " > < C o l u m n > 1 6 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 D o n a c i o n e s \ T a g I n f o \ F � r m u l a 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 D o n a c i o n e s \ T a g I n f o \ V a l o r 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 O t r o s   I n g r e s o s 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 O t r o s   I n g r e s o s \ T a g I n f o \ F � r m u l a 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 O t r o s   I n g r e s o s \ T a g I n f o \ V a l o r 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 A d q u i s i c i � n   N e t a   d e   A c t i v o s   n o   F i n a n c i e r o s < / K e y > < / a : K e y > < a : V a l u e   i : t y p e = " M e a s u r e G r i d N o d e V i e w S t a t e " > < C o l u m n > 4 2 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 A d q u i s i c i � n   N e t a   d e   A c t i v o s   n o   F i n a n c i e r o s \ T a g I n f o \ F � r m u l a 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 A d q u i s i c i � n   N e t a   d e   A c t i v o s   n o   F i n a n c i e r o s \ T a g I n f o \ V a l o r 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 M O P C < / K e y > < / a : K e y > < a : V a l u e   i : t y p e = " M e a s u r e G r i d N o d e V i e w S t a t e " > < C o l u m n > 4 4 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 M O P C \ T a g I n f o \ F � r m u l a 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 M O P C \ T a g I n f o \ V a l o r 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 M H < / K e y > < / a : K e y > < a : V a l u e   i : t y p e = " M e a s u r e G r i d N o d e V i e w S t a t e " > < C o l u m n > 1 0 8 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 M H \ T a g I n f o \ F � r m u l a 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 M H \ T a g I n f o \ V a l o r 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 M J < / K e y > < / a : K e y > < a : V a l u e   i : t y p e = " M e a s u r e G r i d N o d e V i e w S t a t e " > < C o l u m n > 1 0 9 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 M J \ T a g I n f o \ F � r m u l a 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 M J \ T a g I n f o \ V a l o r 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 M T E S S < / K e y > < / a : K e y > < a : V a l u e   i : t y p e = " M e a s u r e G r i d N o d e V i e w S t a t e " > < C o l u m n > 1 1 0 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 M T E S S \ T a g I n f o \ F � r m u l a 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 M T E S S \ T a g I n f o \ V a l o r 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 C o l u m n s \ O r d e n 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 C o l u m n s \ P e r i o d o 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 C o l u m n s \ P I B   n o m i n a l   ( m i l e s   d e   m i l l o n e s   d e   G . ) 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  d e   c a m b i o   G s . / U S $ 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 C o l u m n s \ I n g r e s o   T o t a l   ( R e c a u d a d o ) 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 C o l u m n s \ I n g r e s o   T o t a l   ( %   d e l   P I B ) 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 C o l u m n s \ I T   a c u m u l a d o   p o r   a � o < / K e y > < / a : K e y > < a : V a l u e   i : t y p e = " M e a s u r e G r i d N o d e V i e w S t a t e " > < C o l u m n > 6 6 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 C o l u m n s \ I T   S u m a   1 2   m e s e s < / K e y > < / a : K e y > < a : V a l u e   i : t y p e = " M e a s u r e G r i d N o d e V i e w S t a t e " > < C o l u m n > 5 7 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 a c u m   I n g r e s o   t o t a l < / K e y > < / a : K e y > < a : V a l u e   i : t y p e = " M e a s u r e G r i d N o d e V i e w S t a t e " > < C o l u m n > 6 7 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 i n t e r a n u a l < / K e y > < / a : K e y > < a : V a l u e   i : t y p e = " M e a s u r e G r i d N o d e V i e w S t a t e " > < C o l u m n > 6 8 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 s u m a   1 2   m e s e s < / K e y > < / a : K e y > < a : V a l u e   i : t y p e = " M e a s u r e G r i d N o d e V i e w S t a t e " > < C o l u m n > 6 9 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 C o l u m n s \ I n g r e s o s   T r i b u t a r i o s 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 C o l u m n s \ P r e s i � n   T r i b u t a r i a 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 C o l u m n s \ T r i b u t a r i o s   A c u m .   P o r   a � o < / K e y > < / a : K e y > < a : V a l u e   i : t y p e = " M e a s u r e G r i d N o d e V i e w S t a t e " > < C o l u m n > 9 4 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 C o l u m n s \ T r i b u t a r i o s   s u m a   1 2   m e s e s < / K e y > < / a : K e y > < a : V a l u e   i : t y p e = " M e a s u r e G r i d N o d e V i e w S t a t e " > < C o l u m n > 5 8 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 I n t e r a n u a l   T r i b u t a r i o s < / K e y > < / a : K e y > < a : V a l u e   i : t y p e = " M e a s u r e G r i d N o d e V i e w S t a t e " > < C o l u m n > 9 5 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 A c u m .   T r i b u t a r i o s < / K e y > < / a : K e y > < a : V a l u e   i : t y p e = " M e a s u r e G r i d N o d e V i e w S t a t e " > < C o l u m n > 9 6 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 S u m a   1 2 m   T r i b u t a r i o s < / K e y > < / a : K e y > < a : V a l u e   i : t y p e = " M e a s u r e G r i d N o d e V i e w S t a t e " > < C o l u m n > 9 7 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 C o l u m n s \ S E T   s u m a   1 2   m e s e s < / K e y > < / a : K e y > < a : V a l u e   i : t y p e = " M e a s u r e G r i d N o d e V i e w S t a t e " > < C o l u m n > 5 9 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 A n u a l i z a d o   S E T 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 I n t e r a n u a l   S E T < / K e y > < / a : K e y > < a : V a l u e   i : t y p e = " M e a s u r e G r i d N o d e V i e w S t a t e " > < C o l u m n > 1 0 4 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 C o l u m n s \ D N A 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 C o l u m n s \ D N A   s u m a   1 2   m e s e s < / K e y > < / a : K e y > < a : V a l u e   i : t y p e = " M e a s u r e G r i d N o d e V i e w S t a t e " > < C o l u m n > 6 0 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 A n u a l i z a d o   D N A 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 I n t e r a n u a l   D N A < / K e y > < / a : K e y > < a : V a l u e   i : t y p e = " M e a s u r e G r i d N o d e V i e w S t a t e " > < C o l u m n > 1 0 5 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 C o l u m n s \ C o n t r i b u c i o n e s   S o c i a l e s 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 C o l u m n s \ C o n t r i b u c i o n e s   S o c i a l e s   ( %   d e l   P I B ) 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 C o l u m n s \ D o n a c i o n e s 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 C o l u m n s \ D o n a c i o n e s   ( %   d e l   P I B ) 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 C o l u m n s \ O t r o s   I n g r e s o s 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 C o l u m n s \ O t r o s   i n g r e s o s   ( m i l l o n e s   d e   U S $ ) 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 C o l u m n s \ I t a i p � 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 C o l u m n s \ I t a i p �   ( m i l l o n e s   d e   U S $ ) 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 C o l u m n s \ I t a i p �   a c u m u l a d o   p o r   a � o   ( m i l l o n e s   d e   U S $ ) < / K e y > < / a : K e y > < a : V a l u e   i : t y p e = " M e a s u r e G r i d N o d e V i e w S t a t e " > < C o l u m n > 7 0 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 C o l u m n s \ Y a c y r e t � 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 C o l u m n s \ Y a c y r e t �   ( e n   m i l l o n e s   d e   U S $ ) 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 C o l u m n s \ Y a c y r e t �   a c u m u l a d o   p o r   a � o   ( m i l l o n e s   d e   U S $ ) < / K e y > < / a : K e y > < a : V a l u e   i : t y p e = " M e a s u r e G r i d N o d e V i e w S t a t e " > < C o l u m n > 7 1 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 C o l u m n s \ O t r o s   I n g r . 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  T o t a l   ( O b l i g a d o ) 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  T o t a l   ( %   d e l   P I B ) 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  t o t a l   a c u m u l a d o   p o r   a � o < / K e y > < / a : K e y > < a : V a l u e   i : t y p e = " M e a s u r e G r i d N o d e V i e w S t a t e " > < C o l u m n > 7 2 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  T o t a l   s u m a   1 2   m e s e s < / K e y > < / a : K e y > < a : V a l u e   i : t y p e = " M e a s u r e G r i d N o d e V i e w S t a t e " > < C o l u m n > 6 1 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 i n t e r a n u a l   g a s t o   t o t a l < / K e y > < / a : K e y > < a : V a l u e   i : t y p e = " M e a s u r e G r i d N o d e V i e w S t a t e " > < C o l u m n > 7 3 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 a c u m u l a d o   g a s t o   t o t a l < / K e y > < / a : K e y > < a : V a l u e   i : t y p e = " M e a s u r e G r i d N o d e V i e w S t a t e " > < C o l u m n > 7 4 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 A n u a l i z a d o   G T 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 C o l u m n s \ R e m u n e r a c i � n   a   l o s   E m p l e a d o s 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 C o l u m n s \ R e m u n .   A c u m .   P o r   a � o < / K e y > < / a : K e y > < a : V a l u e   i : t y p e = " M e a s u r e G r i d N o d e V i e w S t a t e " > < C o l u m n > 8 9 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 C o l u m n s \ R e m u n .   S u m a   1 2   m e s e s < / K e y > < / a : K e y > < a : V a l u e   i : t y p e = " M e a s u r e G r i d N o d e V i e w S t a t e " > < C o l u m n > 9 0 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 I n t e r a n u a l   R e m u n . < / K e y > < / a : K e y > < a : V a l u e   i : t y p e = " M e a s u r e G r i d N o d e V i e w S t a t e " > < C o l u m n > 9 1 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 A c u m u l a d o   R e m u n . < / K e y > < / a : K e y > < a : V a l u e   i : t y p e = " M e a s u r e G r i d N o d e V i e w S t a t e " > < C o l u m n > 9 2 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 V a r .   A n u a l i z a d o   R e m u n . < / K e y > < / a : K e y > < a : V a l u e   i : t y p e = " M e a s u r e G r i d N o d e V i e w S t a t e " > < C o l u m n > 9 3 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 C o l u m n s \ S u e l d o s 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 C o l u m n s \ O t r a s   r e m u n e r a c i o n e s 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 C o l u m n s \ U s o   d e   B i e n e s   y   S e r v i c i o s 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 C o l u m n s \ I n t e r e s e s   ( m i l l o n e s   d e   U S $ ) 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 C o l u m n s \ I n t e r e s e s   ( %   d e l   P I B ) < / K e y > < / a : K e y > < a : V a l u e   i : t y p e = " M e a s u r e G r i d N o d e V i e w S t a t e " > < C o l u m n > 1 0 3 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 C o l u m n s \ D o n a c i o n e s   ( G a s t o ) 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 C o l u m n s \ P r e s t a c i o n e s   S o c i a l e s 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 C o l u m n s \ O t r o s   G a s t o s 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 O p e r a t i v o   N e t o 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 C o l u m n s \ R O N   a c u m u l a d o   p o r   a � o < / K e y > < / a : K e y > < a : V a l u e   i : t y p e = " M e a s u r e G r i d N o d e V i e w S t a t e " > < C o l u m n > 7 5 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 C o l u m n s \ R O N   a c u m u l a d o   1 2   m e s e s < / K e y > < / a : K e y > < a : V a l u e   i : t y p e = " M e a s u r e G r i d N o d e V i e w S t a t e " > < C o l u m n > 6 2 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 i n t e r a n u a l   R O N < / K e y > < / a : K e y > < a : V a l u e   i : t y p e = " M e a s u r e G r i d N o d e V i e w S t a t e " > < C o l u m n > 7 6 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 a c u m u l a d o   R O N < / K e y > < / a : K e y > < a : V a l u e   i : t y p e = " M e a s u r e G r i d N o d e V i e w S t a t e " > < C o l u m n > 7 7 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 a n u a l i z a d o < / K e y > < / a : K e y > < a : V a l u e   i : t y p e = " M e a s u r e G r i d N o d e V i e w S t a t e " > < C o l u m n > 7 8 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 C o l u m n s \ R O N   ( %   d e l   P I B ) 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 C o l u m n s \ R O N   a n u a l i z a d o   ( %   d e l   P I B ) < / K e y > < / a : K e y > < a : V a l u e   i : t y p e = " M e a s u r e G r i d N o d e V i e w S t a t e " > < C o l u m n > 6 3 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 C o l u m n s \ A d q u i s i c i � n   N e t a   d e   A c t i v o s   n o   F i n a n c i e r o s 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 C o l u m n s \ A N A N F   a c u m u l a d o   p o r   a � o < / K e y > < / a : K e y > < a : V a l u e   i : t y p e = " M e a s u r e G r i d N o d e V i e w S t a t e " > < C o l u m n > 7 9 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 C o l u m n s \ A N A N F   a c u m u l a d o   1 2   m e s e s < / K e y > < / a : K e y > < a : V a l u e   i : t y p e = " M e a s u r e G r i d N o d e V i e w S t a t e " > < C o l u m n > 6 4 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 i n t e r a n u a l   A N A N F < / K e y > < / a : K e y > < a : V a l u e   i : t y p e = " M e a s u r e G r i d N o d e V i e w S t a t e " > < C o l u m n > 8 0 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 a c u m u l a d o   p o r   a � o   A N A N F < / K e y > < / a : K e y > < a : V a l u e   i : t y p e = " M e a s u r e G r i d N o d e V i e w S t a t e " > < C o l u m n > 8 1 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 a n u a l i z a d o   A N A N F < / K e y > < / a : K e y > < a : V a l u e   i : t y p e = " M e a s u r e G r i d N o d e V i e w S t a t e " > < C o l u m n > 8 2 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 C o l u m n s \ A N A N F   ( m m   U S $ ) 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 C o l u m n s \ A N A N F   ( %   d e l   P I B ) < / K e y > < / a : K e y > < a : V a l u e   i : t y p e = " M e a s u r e G r i d N o d e V i e w S t a t e " > < C o l u m n > 8 3 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 C o l u m n s \ A N A N F   a c u m .   P o r   a � o   ( %   d e l   P I B ) < / K e y > < / a : K e y > < a : V a l u e   i : t y p e = " M e a s u r e G r i d N o d e V i e w S t a t e " > < C o l u m n > 8 4 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 C o l u m n s \ A N A N F   a n u a l i z a d o   ( %   d e l   P I B ) < / K e y > < / a : K e y > < a : V a l u e   i : t y p e = " M e a s u r e G r i d N o d e V i e w S t a t e " > < C o l u m n > 6 5 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 C o l u m n s \ M O P C 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 C o l u m n s \ M O P C   ( m m   U S $ ) 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 C o l u m n s \ O t r a s   e n t i d a d e s 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 C o l u m n s \ O t r a s   e n t i d a d e s   ( m m   U S $ ) < / K e y > < / a : K e y > < a : V a l u e   i : t y p e = " M e a s u r e G r i d N o d e V i e w S t a t e " > < C o l u m n > 4 7 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 ( m i l e s   d e   m i l l o n e s   d e   G . ) < / K e y > < / a : K e y > < a : V a l u e   i : t y p e = " M e a s u r e G r i d N o d e V i e w S t a t e " > < C o l u m n > 5 0 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 a c u m u l a d o   p o r   a � o < / K e y > < / a : K e y > < a : V a l u e   i : t y p e = " M e a s u r e G r i d N o d e V i e w S t a t e " > < C o l u m n > 8 5 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 a n u a l i z a d o < / K e y > < / a : K e y > < a : V a l u e   i : t y p e = " M e a s u r e G r i d N o d e V i e w S t a t e " > < C o l u m n > 5 2 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 ( m i l l o n e s   d e   U S $ ) < / K e y > < / a : K e y > < a : V a l u e   i : t y p e = " M e a s u r e G r i d N o d e V i e w S t a t e " > < C o l u m n > 1 0 6 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 a n u a l i z a d o   ( m i l l o n e s   d e   U S $ ) < / K e y > < / a : K e y > < a : V a l u e   i : t y p e = " M e a s u r e G r i d N o d e V i e w S t a t e " > < C o l u m n > 1 0 7 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 i n t e r a n u a l   R e s u l t a d o   F i s c a l < / K e y > < / a : K e y > < a : V a l u e   i : t y p e = " M e a s u r e G r i d N o d e V i e w S t a t e " > < C o l u m n > 8 6 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 a c u m u l a d o   R e s u l t a d o   F i s c a l < / K e y > < / a : K e y > < a : V a l u e   i : t y p e = " M e a s u r e G r i d N o d e V i e w S t a t e " > < C o l u m n > 8 7 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 V a r   a n u a l i z a d o   R e s u l t a d o   F i s c a l < / K e y > < / a : K e y > < a : V a l u e   i : t y p e = " M e a s u r e G r i d N o d e V i e w S t a t e " > < C o l u m n > 8 8 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 ( %   d e l   P I B ) < / K e y > < / a : K e y > < a : V a l u e   i : t y p e = " M e a s u r e G r i d N o d e V i e w S t a t e " > < C o l u m n > 5 1 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 a n u a l i z a d o   ( %   d e l   P I B ) < / K e y > < / a : K e y > < a : V a l u e   i : t y p e = " M e a s u r e G r i d N o d e V i e w S t a t e " > < C o l u m n > 5 3 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 C o l u m n s \ S S P P   f i n a n c i a d o s   c o n   I n g r e s o s   T r i b u t a r i o s < / K e y > < / a : K e y > < a : V a l u e   i : t y p e = " M e a s u r e G r i d N o d e V i e w S t a t e " > < C o l u m n > 5 4 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 C o l u m n s \ B i n a c i o n a l e s 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 p r i m a r i o < / K e y > < / a : K e y > < a : V a l u e   i : t y p e = " M e a s u r e G r i d N o d e V i e w S t a t e " > < C o l u m n > 5 5 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 f i s c a l   p r i m a r i o   ( %   d e l   P I B ) < / K e y > < / a : K e y > < a : V a l u e   i : t y p e = " M e a s u r e G r i d N o d e V i e w S t a t e " > < C o l u m n > 5 6 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 C o l u m n s \ S a l a r i o s   L e y   d e   E m e r g e n c i a < / K e y > < / a : K e y > < a : V a l u e   i : t y p e = " M e a s u r e G r i d N o d e V i e w S t a t e " > < C o l u m n > 9 8 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 C o l u m n s \ F F P P < / K e y > < / a : K e y > < a : V a l u e   i : t y p e = " M e a s u r e G r i d N o d e V i e w S t a t e " > < C o l u m n > 9 9 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 C o l u m n s \ M E C < / K e y > < / a : K e y > < a : V a l u e   i : t y p e = " M e a s u r e G r i d N o d e V i e w S t a t e " > < C o l u m n > 1 0 0 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 C o l u m n s \ M S P B S < / K e y > < / a : K e y > < a : V a l u e   i : t y p e = " M e a s u r e G r i d N o d e V i e w S t a t e " > < C o l u m n > 1 0 1 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 C o l u m n s \ H o s p i t a l   d e   C l � n i c a s < / K e y > < / a : K e y > < a : V a l u e   i : t y p e = " M e a s u r e G r i d N o d e V i e w S t a t e " > < C o l u m n > 1 0 2 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 C o l u m n s \ R e s u l t a d o   O p e r a t i v o   P r i m a r i o 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 C o l u m n s \ R O N   P r i m a r i o   ( %   d e l   P I B ) 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 C o l u m n s \ G a s t o + I n v e r s i � n < / K e y > < / a : K e y > < a : V a l u e   i : t y p e = " M e a s u r e G r i d N o d e V i e w S t a t e " > < C o l u m n > 4 8 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 C o l u m n s \ G a s t o + I n v e r s i � n   ( %   P I B ) < / K e y > < / a : K e y > < a : V a l u e   i : t y p e = " M e a s u r e G r i d N o d e V i e w S t a t e " > < C o l u m n > 4 9 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 C o l u m n s \ M H < / K e y > < / a : K e y > < a : V a l u e   i : t y p e = " M e a s u r e G r i d N o d e V i e w S t a t e " > < C o l u m n > 1 0 8 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 C o l u m n s \ M J < / K e y > < / a : K e y > < a : V a l u e   i : t y p e = " M e a s u r e G r i d N o d e V i e w S t a t e " > < C o l u m n > 1 0 9 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 C o l u m n s \ M T E S S < / K e y > < / a : K e y > < a : V a l u e   i : t y p e = " M e a s u r e G r i d N o d e V i e w S t a t e " > < C o l u m n > 1 1 0 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 I n g r e s o   T o t a l   ( R e c a u d a d o ) & g t ; - & l t ; M e a s u r e s \ I n g r e s o   T o t a l   ( R e c a u d a d o ) & g t ; 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 I n g r e s o   T o t a l   ( R e c a u d a d o ) & g t ; - & l t ; M e a s u r e s \ I n g r e s o   T o t a l   ( R e c a u d a d o ) & g t ; \ C O L U M N 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 I n g r e s o   T o t a l   ( R e c a u d a d o ) & g t ; - & l t ; M e a s u r e s \ I n g r e s o   T o t a l   ( R e c a u d a d o ) & g t ; \ M E A S U R E 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 I n g r e s o s   T r i b u t a r i o s & g t ; - & l t ; M e a s u r e s \ I n g r e s o s   T r i b u t a r i o s & g t ; 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 I n g r e s o s   T r i b u t a r i o s & g t ; - & l t ; M e a s u r e s \ I n g r e s o s   T r i b u t a r i o s & g t ; \ C O L U M N 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 I n g r e s o s   T r i b u t a r i o s & g t ; - & l t ; M e a s u r e s \ I n g r e s o s   T r i b u t a r i o s & g t ; \ M E A S U R E 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 B i n a c i o n a l e s & g t ; - & l t ; M e a s u r e s \ B i n a c i o n a l e s & g t ; 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 B i n a c i o n a l e s & g t ; - & l t ; M e a s u r e s \ B i n a c i o n a l e s & g t ; \ C O L U M N 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 B i n a c i o n a l e s & g t ; - & l t ; M e a s u r e s \ B i n a c i o n a l e s & g t ; \ M E A S U R E 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 P r e s i � n   T r i b u t a r i a & g t ; - & l t ; M e a s u r e s \ P r e s i � n   T r i b u t a r i a & g t ; 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 P r e s i � n   T r i b u t a r i a & g t ; - & l t ; M e a s u r e s \ P r e s i � n   T r i b u t a r i a & g t ; \ C O L U M N 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 P r e s i � n   T r i b u t a r i a & g t ; - & l t ; M e a s u r e s \ P r e s i � n   T r i b u t a r i a & g t ; \ M E A S U R E 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 S E T & g t ; - & l t ; M e a s u r e s \ S E T & g t ; 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 S E T & g t ; - & l t ; M e a s u r e s \ S E T & g t ; \ C O L U M N 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 S E T & g t ; - & l t ; M e a s u r e s \ S E T & g t ; \ M E A S U R E 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 D N A & g t ; - & l t ; M e a s u r e s \ D N A & g t ; 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 D N A & g t ; - & l t ; M e a s u r e s \ D N A & g t ; \ C O L U M N 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 D N A & g t ; - & l t ; M e a s u r e s \ D N A & g t ; \ M E A S U R E 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 A n u a l i z a d o   S E T & g t ; - & l t ; M e a s u r e s \ %   V a r .   A n u a l i z a d o   S E T & g t ; 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 A n u a l i z a d o   S E T & g t ; - & l t ; M e a s u r e s \ %   V a r .   A n u a l i z a d o   S E T & g t ; \ C O L U M N 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 A n u a l i z a d o   S E T & g t ; - & l t ; M e a s u r e s \ %   V a r .   A n u a l i z a d o   S E T & g t ; \ M E A S U R E 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 A n u a l i z a d o   D N A & g t ; - & l t ; M e a s u r e s \ %   V a r .   A n u a l i z a d o   D N A & g t ; 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 A n u a l i z a d o   D N A & g t ; - & l t ; M e a s u r e s \ %   V a r .   A n u a l i z a d o   D N A & g t ; \ C O L U M N 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 A n u a l i z a d o   D N A & g t ; - & l t ; M e a s u r e s \ %   V a r .   A n u a l i z a d o   D N A & g t ; \ M E A S U R E 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 I t a i p �   ( m i l l o n e s   d e   U S $ ) & g t ; - & l t ; M e a s u r e s \ I t a i p �   ( m i l l o n e s   d e   U S $ ) & g t ; 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 I t a i p �   ( m i l l o n e s   d e   U S $ ) & g t ; - & l t ; M e a s u r e s \ I t a i p �   ( m i l l o n e s   d e   U S $ ) & g t ; \ C O L U M N 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 I t a i p �   ( m i l l o n e s   d e   U S $ ) & g t ; - & l t ; M e a s u r e s \ I t a i p �   ( m i l l o n e s   d e   U S $ ) & g t ; \ M E A S U R E 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 Y a c y r e t �   ( e n   m i l l o n e s   d e   U S $ ) & g t ; - & l t ; M e a s u r e s \ Y a c y r e t �   ( e n   m i l l o n e s   d e   U S $ ) & g t ; 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 Y a c y r e t �   ( e n   m i l l o n e s   d e   U S $ ) & g t ; - & l t ; M e a s u r e s \ Y a c y r e t �   ( e n   m i l l o n e s   d e   U S $ ) & g t ; \ C O L U M N 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 Y a c y r e t �   ( e n   m i l l o n e s   d e   U S $ ) & g t ; - & l t ; M e a s u r e s \ Y a c y r e t �   ( e n   m i l l o n e s   d e   U S $ ) & g t ; \ M E A S U R E 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 ( O b l i g a d o ) & g t ; - & l t ; M e a s u r e s \ G a s t o   T o t a l   ( O b l i g a d o ) & g t ; 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 ( O b l i g a d o ) & g t ; - & l t ; M e a s u r e s \ G a s t o   T o t a l   ( O b l i g a d o ) & g t ; \ C O L U M N 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 ( O b l i g a d o ) & g t ; - & l t ; M e a s u r e s \ G a s t o   T o t a l   ( O b l i g a d o ) & g t ; \ M E A S U R E 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 R e m u n e r a c i � n   a   l o s   E m p l e a d o s & g t ; - & l t ; M e a s u r e s \ R e m u n e r a c i � n   a   l o s   E m p l e a d o s & g t ; 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 R e m u n e r a c i � n   a   l o s   E m p l e a d o s & g t ; - & l t ; M e a s u r e s \ R e m u n e r a c i � n   a   l o s   E m p l e a d o s & g t ; \ C O L U M N 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 R e m u n e r a c i � n   a   l o s   E m p l e a d o s & g t ; - & l t ; M e a s u r e s \ R e m u n e r a c i � n   a   l o s   E m p l e a d o s & g t ; \ M E A S U R E 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 U s o   d e   B i e n e s   y   S e r v i c i o s & g t ; - & l t ; M e a s u r e s \ U s o   d e   B i e n e s   y   S e r v i c i o s & g t ; 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 U s o   d e   B i e n e s   y   S e r v i c i o s & g t ; - & l t ; M e a s u r e s \ U s o   d e   B i e n e s   y   S e r v i c i o s & g t ; \ C O L U M N 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 U s o   d e   B i e n e s   y   S e r v i c i o s & g t ; - & l t ; M e a s u r e s \ U s o   d e   B i e n e s   y   S e r v i c i o s & g t ; \ M E A S U R E 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 I n t e r e s e s & g t ; - & l t ; M e a s u r e s \ I n t e r e s e s & g t ; 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 I n t e r e s e s & g t ; - & l t ; M e a s u r e s \ I n t e r e s e s & g t ; \ C O L U M N 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 I n t e r e s e s & g t ; - & l t ; M e a s u r e s \ I n t e r e s e s & g t ; \ M E A S U R E 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 D o n a c i o n e s   ( G a s t o ) & g t ; - & l t ; M e a s u r e s \ D o n a c i o n e s   ( G a s t o ) & g t ; 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 D o n a c i o n e s   ( G a s t o ) & g t ; - & l t ; M e a s u r e s \ D o n a c i o n e s   ( G a s t o ) & g t ; \ C O L U M N 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 D o n a c i o n e s   ( G a s t o ) & g t ; - & l t ; M e a s u r e s \ D o n a c i o n e s   ( G a s t o ) & g t ; \ M E A S U R E 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 P r e s t a c i o n e s   S o c i a l e s & g t ; - & l t ; M e a s u r e s \ P r e s t a c i o n e s   S o c i a l e s & g t ; 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 P r e s t a c i o n e s   S o c i a l e s & g t ; - & l t ; M e a s u r e s \ P r e s t a c i o n e s   S o c i a l e s & g t ; \ C O L U M N 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 P r e s t a c i o n e s   S o c i a l e s & g t ; - & l t ; M e a s u r e s \ P r e s t a c i o n e s   S o c i a l e s & g t ; \ M E A S U R E 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 O t r o s   G a s t o s & g t ; - & l t ; M e a s u r e s \ O t r o s   G a s t o s & g t ; 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 O t r o s   G a s t o s & g t ; - & l t ; M e a s u r e s \ O t r o s   G a s t o s & g t ; \ C O L U M N 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 O t r o s   G a s t o s & g t ; - & l t ; M e a s u r e s \ O t r o s   G a s t o s & g t ; \ M E A S U R E 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 ( %   d e l   P I B ) & g t ; - & l t ; M e a s u r e s \ R O N 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 R O N   ( %   d e l   P I B ) & g t ; - & l t ; M e a s u r e s \ R O N 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 ( %   d e l   P I B ) & g t ; - & l t ; M e a s u r e s \ R O N 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 M O P C   ( m m   U S $ ) & g t ; - & l t ; M e a s u r e s \ M O P C   ( m m   U S $ ) & g t ; 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 M O P C   ( m m   U S $ ) & g t ; - & l t ; M e a s u r e s \ M O P C   ( m m   U S $ ) & g t ; \ C O L U M N 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 M O P C   ( m m   U S $ ) & g t ; - & l t ; M e a s u r e s \ M O P C   ( m m   U S $ ) & g t ; \ M E A S U R E 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 O t r a s   e n t i d a d e s   ( m m   U S $ ) & g t ; - & l t ; M e a s u r e s \ O t r a s   e n t i d a d e s   ( m m   U S $ ) & g t ; 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 O t r a s   e n t i d a d e s   ( m m   U S $ ) & g t ; - & l t ; M e a s u r e s \ O t r a s   e n t i d a d e s   ( m m   U S $ ) & g t ; \ C O L U M N 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 O t r a s   e n t i d a d e s   ( m m   U S $ ) & g t ; - & l t ; M e a s u r e s \ O t r a s   e n t i d a d e s   ( m m   U S $ ) & g t ; \ M E A S U R E 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 ( m m   U S $ ) & g t ; - & l t ; M e a s u r e s \ A N A N F   ( m m   U S $ ) & g t ; 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 A N A N F   ( m m   U S $ ) & g t ; - & l t ; M e a s u r e s \ A N A N F   ( m m   U S $ ) & g t ; \ C O L U M N 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 ( m m   U S $ ) & g t ; - & l t ; M e a s u r e s \ A N A N F   ( m m   U S $ ) & g t ; \ M E A S U R E 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 ( %   d e l   P I B ) & g t ; - & l t ; M e a s u r e s \ R e s u l t a d o   F i s c a l 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 ( %   d e l   P I B ) & g t ; - & l t ; M e a s u r e s \ R e s u l t a d o   F i s c a l 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 ( %   d e l   P I B ) & g t ; - & l t ; M e a s u r e s \ R e s u l t a d o   F i s c a l 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 S S P P   f i n a n c i a d o s   c o n   I n g r e s o s   T r i b u t a r i o s & g t ; - & l t ; M e a s u r e s \ S S P P   f i n a n c i a d o s   c o n   I n g r e s o s   T r i b u t a r i o s & g t ; 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 S S P P   f i n a n c i a d o s   c o n   I n g r e s o s   T r i b u t a r i o s & g t ; - & l t ; M e a s u r e s \ S S P P   f i n a n c i a d o s   c o n   I n g r e s o s   T r i b u t a r i o s & g t ; \ C O L U M N 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 S S P P   f i n a n c i a d o s   c o n   I n g r e s o s   T r i b u t a r i o s & g t ; - & l t ; M e a s u r e s \ S S P P   f i n a n c i a d o s   c o n   I n g r e s o s   T r i b u t a r i o s & g t ; \ M E A S U R E 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 p r i m a r i o   ( %   d e l   P I B ) & g t ; - & l t ; M e a s u r e s \ R e s u l t a d o   f i s c a l   p r i m a r i o 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 p r i m a r i o   ( %   d e l   P I B ) & g t ; - & l t ; M e a s u r e s \ R e s u l t a d o   f i s c a l   p r i m a r i o 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 p r i m a r i o   ( %   d e l   P I B ) & g t ; - & l t ; M e a s u r e s \ R e s u l t a d o   f i s c a l   p r i m a r i o 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 a n u a l i z a d o   ( %   d e l   P I B ) & g t ; - & l t ; M e a s u r e s \ R O N   a n u a l i z a d o 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 R O N   a n u a l i z a d o   ( %   d e l   P I B ) & g t ; - & l t ; M e a s u r e s \ R O N   a n u a l i z a d o 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 a n u a l i z a d o   ( %   d e l   P I B ) & g t ; - & l t ; M e a s u r e s \ R O N   a n u a l i z a d o 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 a n u a l i z a d o   ( %   d e l   P I B ) & g t ; - & l t ; M e a s u r e s \ A N A N F   a n u a l i z a d o 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 A N A N F   a n u a l i z a d o   ( %   d e l   P I B ) & g t ; - & l t ; M e a s u r e s \ A N A N F   a n u a l i z a d o 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 a n u a l i z a d o   ( %   d e l   P I B ) & g t ; - & l t ; M e a s u r e s \ A N A N F   a n u a l i z a d o 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 a n u a l i z a d o   ( %   d e l   P I B ) & g t ; - & l t ; M e a s u r e s \ R e s u l t a d o   f i s c a l   a n u a l i z a d o 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 a n u a l i z a d o   ( %   d e l   P I B ) & g t ; - & l t ; M e a s u r e s \ R e s u l t a d o   f i s c a l   a n u a l i z a d o 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 a n u a l i z a d o   ( %   d e l   P I B ) & g t ; - & l t ; M e a s u r e s \ R e s u l t a d o   f i s c a l   a n u a l i z a d o 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 ( %   d e l   P I B ) & g t ; - & l t ; M e a s u r e s \ A N A N F 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 A N A N F   ( %   d e l   P I B ) & g t ; - & l t ; M e a s u r e s \ A N A N F 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 ( %   d e l   P I B ) & g t ; - & l t ; M e a s u r e s \ A N A N F 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 I T   S u m a   1 2   m e s e s & g t ; - & l t ; M e a s u r e s \ I T   S u m a 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 I T   S u m a   1 2   m e s e s & g t ; - & l t ; M e a s u r e s \ I T   S u m a 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 I T   S u m a   1 2   m e s e s & g t ; - & l t ; M e a s u r e s \ I T   S u m a 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 T r i b u t a r i o s   s u m a   1 2   m e s e s & g t ; - & l t ; M e a s u r e s \ T r i b u t a r i o s   s u m a 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 T r i b u t a r i o s   s u m a   1 2   m e s e s & g t ; - & l t ; M e a s u r e s \ T r i b u t a r i o s   s u m a 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 T r i b u t a r i o s   s u m a   1 2   m e s e s & g t ; - & l t ; M e a s u r e s \ T r i b u t a r i o s   s u m a 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 S E T   s u m a   1 2   m e s e s & g t ; - & l t ; M e a s u r e s \ S E T   s u m a 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 S E T   s u m a   1 2   m e s e s & g t ; - & l t ; M e a s u r e s \ S E T   s u m a 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 S E T   s u m a   1 2   m e s e s & g t ; - & l t ; M e a s u r e s \ S E T   s u m a 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 D N A   s u m a   1 2   m e s e s & g t ; - & l t ; M e a s u r e s \ D N A   s u m a 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 D N A   s u m a   1 2   m e s e s & g t ; - & l t ; M e a s u r e s \ D N A   s u m a 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 D N A   s u m a   1 2   m e s e s & g t ; - & l t ; M e a s u r e s \ D N A   s u m a 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 s u m a   1 2   m e s e s & g t ; - & l t ; M e a s u r e s \ G a s t o   T o t a l   s u m a 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 s u m a   1 2   m e s e s & g t ; - & l t ; M e a s u r e s \ G a s t o   T o t a l   s u m a 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 s u m a   1 2   m e s e s & g t ; - & l t ; M e a s u r e s \ G a s t o   T o t a l   s u m a 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 a c u m u l a d o   1 2   m e s e s & g t ; - & l t ; M e a s u r e s \ R O N   a c u m u l a d o 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 R O N   a c u m u l a d o   1 2   m e s e s & g t ; - & l t ; M e a s u r e s \ R O N   a c u m u l a d o 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 a c u m u l a d o   1 2   m e s e s & g t ; - & l t ; M e a s u r e s \ R O N   a c u m u l a d o 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 a c u m u l a d o   1 2   m e s e s & g t ; - & l t ; M e a s u r e s \ A N A N F   a c u m u l a d o   1 2   m e s e s & g t ; 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 A N A N F   a c u m u l a d o   1 2   m e s e s & g t ; - & l t ; M e a s u r e s \ A N A N F   a c u m u l a d o   1 2   m e s e s & g t ; \ C O L U M N 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 A N A N F   a c u m u l a d o   1 2   m e s e s & g t ; - & l t ; M e a s u r e s \ A N A N F   a c u m u l a d o   1 2   m e s e s & g t ; \ M E A S U R E 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 a n u a l i z a d o & g t ; - & l t ; M e a s u r e s \ R e s u l t a d o   f i s c a l   a n u a l i z a d o & g t ; 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 a n u a l i z a d o & g t ; - & l t ; M e a s u r e s \ R e s u l t a d o   f i s c a l   a n u a l i z a d o & g t ; \ C O L U M N 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 a n u a l i z a d o & g t ; - & l t ; M e a s u r e s \ R e s u l t a d o   f i s c a l   a n u a l i z a d o & g t ; \ M E A S U R E 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  i n t e r a n u a l & g t ; - & l t ; M e a s u r e s \ %   V a r   i n t e r a n u a l & g t ; 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  i n t e r a n u a l & g t ; - & l t ; M e a s u r e s \ %   V a r   i n t e r a n u a l & g t ; \ C O L U M N 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  i n t e r a n u a l & g t ; - & l t ; M e a s u r e s \ %   V a r   i n t e r a n u a l & g t ; \ M E A S U R E 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 T r i b u t a r i o s & g t ; - & l t ; M e a s u r e s \ %   V a r .   I n t e r a n u a l   T r i b u t a r i o s & g t ; 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 T r i b u t a r i o s & g t ; - & l t ; M e a s u r e s \ %   V a r .   I n t e r a n u a l   T r i b u t a r i o s & g t ; \ C O L U M N 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 T r i b u t a r i o s & g t ; - & l t ; M e a s u r e s \ %   V a r .   I n t e r a n u a l   T r i b u t a r i o s & g t ; \ M E A S U R E 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 R e m u n . & g t ; - & l t ; M e a s u r e s \ %   V a r .   I n t e r a n u a l   R e m u n . & g t ; 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 R e m u n . & g t ; - & l t ; M e a s u r e s \ %   V a r .   I n t e r a n u a l   R e m u n . & g t ; \ C O L U M N 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 R e m u n . & g t ; - & l t ; M e a s u r e s \ %   V a r .   I n t e r a n u a l   R e m u n . & g t ; \ M E A S U R E 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 A c u m u l a d o   R e m u n . & g t ; - & l t ; M e a s u r e s \ %   V a r .   A c u m u l a d o   R e m u n . & g t ; 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 A c u m u l a d o   R e m u n . & g t ; - & l t ; M e a s u r e s \ %   V a r .   A c u m u l a d o   R e m u n . & g t ; \ C O L U M N 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 A c u m u l a d o   R e m u n . & g t ; - & l t ; M e a s u r e s \ %   V a r .   A c u m u l a d o   R e m u n . & g t ; \ M E A S U R E 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 S u e l d o s & g t ; - & l t ; M e a s u r e s \ S u e l d o s & g t ; 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 S u e l d o s & g t ; - & l t ; M e a s u r e s \ S u e l d o s & g t ; \ C O L U M N 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 S u e l d o s & g t ; - & l t ; M e a s u r e s \ S u e l d o s & g t ; \ M E A S U R E 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 O t r a s   r e m u n e r a c i o n e s & g t ; - & l t ; M e a s u r e s \ O t r a s   r e m u n e r a c i o n e s & g t ; 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 O t r a s   r e m u n e r a c i o n e s & g t ; - & l t ; M e a s u r e s \ O t r a s   r e m u n e r a c i o n e s & g t ; \ C O L U M N 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 O t r a s   r e m u n e r a c i o n e s & g t ; - & l t ; M e a s u r e s \ O t r a s   r e m u n e r a c i o n e s & g t ; \ M E A S U R E 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 S a l a r i o s   L e y   d e   E m e r g e n c i a & g t ; - & l t ; M e a s u r e s \ S a l a r i o s   L e y   d e   E m e r g e n c i a & g t ; 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 S a l a r i o s   L e y   d e   E m e r g e n c i a & g t ; - & l t ; M e a s u r e s \ S a l a r i o s   L e y   d e   E m e r g e n c i a & g t ; \ C O L U M N 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 S a l a r i o s   L e y   d e   E m e r g e n c i a & g t ; - & l t ; M e a s u r e s \ S a l a r i o s   L e y   d e   E m e r g e n c i a & g t ; \ M E A S U R E 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 F F P P & g t ; - & l t ; M e a s u r e s \ F F P P & g t ; 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 F F P P & g t ; - & l t ; M e a s u r e s \ F F P P & g t ; \ C O L U M N 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 F F P P & g t ; - & l t ; M e a s u r e s \ F F P P & g t ; \ M E A S U R E 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 M E C & g t ; - & l t ; M e a s u r e s \ M E C & g t ; 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 M E C & g t ; - & l t ; M e a s u r e s \ M E C & g t ; \ C O L U M N 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 M E C & g t ; - & l t ; M e a s u r e s \ M E C & g t ; \ M E A S U R E 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 M S P B S & g t ; - & l t ; M e a s u r e s \ M S P B S & g t ; 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 M S P B S & g t ; - & l t ; M e a s u r e s \ M S P B S & g t ; \ C O L U M N 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 M S P B S & g t ; - & l t ; M e a s u r e s \ M S P B S & g t ; \ M E A S U R E 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 H o s p i t a l   d e   C l � n i c a s & g t ; - & l t ; M e a s u r e s \ H o s p i t a l   d e   C l � n i c a s & g t ; 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 H o s p i t a l   d e   C l � n i c a s & g t ; - & l t ; M e a s u r e s \ H o s p i t a l   d e   C l � n i c a s & g t ; \ C O L U M N 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 H o s p i t a l   d e   C l � n i c a s & g t ; - & l t ; M e a s u r e s \ H o s p i t a l   d e   C l � n i c a s & g t ; \ M E A S U R E 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  i n t e r a n u a l   A N A N F & g t ; - & l t ; M e a s u r e s \ %   V a r   i n t e r a n u a l   A N A N F & g t ; 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  i n t e r a n u a l   A N A N F & g t ; - & l t ; M e a s u r e s \ %   V a r   i n t e r a n u a l   A N A N F & g t ; \ C O L U M N 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  i n t e r a n u a l   A N A N F & g t ; - & l t ; M e a s u r e s \ %   V a r   i n t e r a n u a l   A N A N F & g t ; \ M E A S U R E 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 I n g r e s o   T o t a l   ( %   d e l   P I B ) & g t ; - & l t ; M e a s u r e s \ I n g r e s o   T o t a l 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 I n g r e s o   T o t a l   ( %   d e l   P I B ) & g t ; - & l t ; M e a s u r e s \ I n g r e s o   T o t a l 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 I n g r e s o   T o t a l   ( %   d e l   P I B ) & g t ; - & l t ; M e a s u r e s \ I n g r e s o   T o t a l 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 ( %   d e l   P I B ) & g t ; - & l t ; M e a s u r e s \ G a s t o   T o t a l 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 ( %   d e l   P I B ) & g t ; - & l t ; M e a s u r e s \ G a s t o   T o t a l 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  T o t a l   ( %   d e l   P I B ) & g t ; - & l t ; M e a s u r e s \ G a s t o   T o t a l 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 P r i m a r i o   ( %   d e l   P I B ) & g t ; - & l t ; M e a s u r e s \ R O N   P r i m a r i o   ( %   d e l 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 R O N   P r i m a r i o   ( %   d e l   P I B ) & g t ; - & l t ; M e a s u r e s \ R O N   P r i m a r i o   ( %   d e l 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 R O N   P r i m a r i o   ( %   d e l   P I B ) & g t ; - & l t ; M e a s u r e s \ R O N   P r i m a r i o   ( %   d e l 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 G a s t o + I n v e r s i � n   ( %   P I B ) & g t ; - & l t ; M e a s u r e s \ G a s t o + I n v e r s i � n   ( %   P I B ) & g t ; 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 G a s t o + I n v e r s i � n   ( %   P I B ) & g t ; - & l t ; M e a s u r e s \ G a s t o + I n v e r s i � n   ( %   P I B ) & g t ; \ C O L U M N 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 G a s t o + I n v e r s i � n   ( %   P I B ) & g t ; - & l t ; M e a s u r e s \ G a s t o + I n v e r s i � n   ( %   P I B ) & g t ; \ M E A S U R E 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 S E T & g t ; - & l t ; M e a s u r e s \ %   V a r .   I n t e r a n u a l   S E T & g t ; 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 S E T & g t ; - & l t ; M e a s u r e s \ %   V a r .   I n t e r a n u a l   S E T & g t ; \ C O L U M N 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 S E T & g t ; - & l t ; M e a s u r e s \ %   V a r .   I n t e r a n u a l   S E T & g t ; \ M E A S U R E 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 D N A & g t ; - & l t ; M e a s u r e s \ %   V a r .   I n t e r a n u a l   D N A & g t ; 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 D N A & g t ; - & l t ; M e a s u r e s \ %   V a r .   I n t e r a n u a l   D N A & g t ; \ C O L U M N 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 %   V a r .   I n t e r a n u a l   D N A & g t ; - & l t ; M e a s u r e s \ %   V a r .   I n t e r a n u a l   D N A & g t ; \ M E A S U R E 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 ( m i l l o n e s   d e   U S $ ) & g t ; - & l t ; M e a s u r e s \ R e s u l t a d o   F i s c a l   ( m i l l o n e s   d e   U S $ ) & g t ; 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 ( m i l l o n e s   d e   U S $ ) & g t ; - & l t ; M e a s u r e s \ R e s u l t a d o   F i s c a l   ( m i l l o n e s   d e   U S $ ) & g t ; \ C O L U M N 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 R e s u l t a d o   F i s c a l   ( m i l l o n e s   d e   U S $ ) & g t ; - & l t ; M e a s u r e s \ R e s u l t a d o   F i s c a l   ( m i l l o n e s   d e   U S $ ) & g t ; \ M E A S U R E 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 C o n t r i b u c i o n e s   S o c i a l e s & g t ; - & l t ; M e a s u r e s \ C o n t r i b u c i o n e s   S o c i a l e s & g t ; 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 C o n t r i b u c i o n e s   S o c i a l e s & g t ; - & l t ; M e a s u r e s \ C o n t r i b u c i o n e s   S o c i a l e s & g t ; \ C O L U M N 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 C o n t r i b u c i o n e s   S o c i a l e s & g t ; - & l t ; M e a s u r e s \ C o n t r i b u c i o n e s   S o c i a l e s & g t ; \ M E A S U R E 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 D o n a c i o n e s & g t ; - & l t ; M e a s u r e s \ D o n a c i o n e s & g t ; 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 D o n a c i o n e s & g t ; - & l t ; M e a s u r e s \ D o n a c i o n e s & g t ; \ C O L U M N 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 D o n a c i o n e s & g t ; - & l t ; M e a s u r e s \ D o n a c i o n e s & g t ; \ M E A S U R E 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 O t r o s   I n g r e s o s & g t ; - & l t ; M e a s u r e s \ O t r o s   I n g r e s o s & g t ; 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 O t r o s   I n g r e s o s & g t ; - & l t ; M e a s u r e s \ O t r o s   I n g r e s o s & g t ; \ C O L U M N 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 O t r o s   I n g r e s o s & g t ; - & l t ; M e a s u r e s \ O t r o s   I n g r e s o s & g t ; \ M E A S U R E 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 A d q u i s i c i � n   N e t a   d e   A c t i v o s   n o   F i n a n c i e r o s & g t ; - & l t ; M e a s u r e s \ A d q u i s i c i � n   N e t a   d e   A c t i v o s   n o   F i n a n c i e r o s & g t ; 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 A d q u i s i c i � n   N e t a   d e   A c t i v o s   n o   F i n a n c i e r o s & g t ; - & l t ; M e a s u r e s \ A d q u i s i c i � n   N e t a   d e   A c t i v o s   n o   F i n a n c i e r o s & g t ; \ C O L U M N 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 A d q u i s i c i � n   N e t a   d e   A c t i v o s   n o   F i n a n c i e r o s & g t ; - & l t ; M e a s u r e s \ A d q u i s i c i � n   N e t a   d e   A c t i v o s   n o   F i n a n c i e r o s & g t ; \ M E A S U R E 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 M O P C & g t ; - & l t ; M e a s u r e s \ M O P C & g t ; 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 M O P C & g t ; - & l t ; M e a s u r e s \ M O P C & g t ; \ C O L U M N 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 M O P C & g t ; - & l t ; M e a s u r e s \ M O P C & g t ; \ M E A S U R E 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 M H & g t ; - & l t ; M e a s u r e s \ M H & g t ; 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 M H & g t ; - & l t ; M e a s u r e s \ M H & g t ; \ C O L U M N 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 M H & g t ; - & l t ; M e a s u r e s \ M H & g t ; \ M E A S U R E 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 M J & g t ; - & l t ; M e a s u r e s \ M J & g t ; 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 M J & g t ; - & l t ; M e a s u r e s \ M J & g t ; \ C O L U M N 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 M J & g t ; - & l t ; M e a s u r e s \ M J & g t ; \ M E A S U R E 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 M T E S S & g t ; - & l t ; M e a s u r e s \ M T E S S & g t ; 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 M T E S S & g t ; - & l t ; M e a s u r e s \ M T E S S & g t ; \ C O L U M N 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 M T E S S & g t ; - & l t ; M e a s u r e s \ M T E S S & g t ; \ M E A S U R E 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8 9 ] ] > < / C u s t o m C o n t e n t > < / G e m i n i > 
</file>

<file path=customXml/item18.xml>��< ? x m l   v e r s i o n = " 1 . 0 "   e n c o d i n g = " U T F - 1 6 " ? > < G e m i n i   x m l n s = " h t t p : / / g e m i n i / p i v o t c u s t o m i z a t i o n / 1 1 7 7 f 5 a 4 - 0 7 0 d - 4 f 5 7 - b 9 4 1 - a a 7 d 7 b 1 5 6 2 3 7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 T r u e 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4 4 5 f 0 9 a - 6 8 2 b - 4 e 4 a - 8 b c f - 3 4 0 5 b 7 8 4 6 0 b 3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f 3 9 2 3 8 8 6 - 6 6 2 9 - 4 c f a - 9 9 2 c - 1 1 c 2 5 7 a 4 4 b e 4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f 7 8 0 2 a 7 0 - d 9 a d - 4 7 c 0 - b 9 7 f - 1 d 3 d 1 5 f c c 6 d e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0 7 6 d 4 4 d 1 - 7 7 e b - 4 2 9 9 - 8 3 c 2 - f 7 2 3 5 4 7 9 d 0 f 7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4.xml>��< ? x m l   v e r s i o n = " 1 . 0 "   e n c o d i n g = " U T F - 1 6 " ? > < G e m i n i   x m l n s = " h t t p : / / g e m i n i / p i v o t c u s t o m i z a t i o n / 5 8 2 0 1 2 1 c - 8 d 0 b - 4 d 4 e - 8 2 9 d - 3 c f 2 4 e 1 f 7 9 0 e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a 0 3 8 9 9 b 9 - 2 1 3 9 - 4 d 2 8 - a 1 e 2 - 3 5 b 8 2 b 7 8 b c f d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T a b l a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 N r o . < / s t r i n g > < / k e y > < v a l u e > < i n t > 7 7 < / i n t > < / v a l u e > < / i t e m > < i t e m > < k e y > < s t r i n g > M e s < / s t r i n g > < / k e y > < v a l u e > < i n t > 7 6 < / i n t > < / v a l u e > < / i t e m > < / C o l u m n W i d t h s > < C o l u m n D i s p l a y I n d e x > < i t e m > < k e y > < s t r i n g > N r o . < / s t r i n g > < / k e y > < v a l u e > < i n t > 0 < / i n t > < / v a l u e > < / i t e m > < i t e m > < k e y > < s t r i n g > M e s 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4 c d 9 f e 9 5 - 1 3 7 e - 4 1 2 5 - 8 9 d f - b 1 5 f 2 5 f 9 c f d c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d b 4 5 6 5 9 4 - e b 4 6 - 4 3 b 4 - 9 b e d - f d c 6 d 9 5 b 6 e 2 e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7 c a 0 2 f 6 8 - 6 1 b b - 4 6 4 d - b c 4 4 - 9 e 4 d d d b 8 0 0 d 8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2 3 e a 9 2 9 8 - 5 a 5 5 - 4 4 a a - a a e b - 1 3 6 4 3 1 7 0 3 c 1 5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7 9 b 0 9 b b 7 - 5 3 4 1 - 4 2 2 d - a a 2 3 - f 8 d 3 4 f 5 2 6 3 c c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4 b 7 5 4 f 7 9 - a b 5 3 - 4 5 8 3 - 8 2 e 0 - 2 a 1 5 9 a 2 c 5 1 7 1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e d 3 5 7 8 2 b - 5 f c 3 - 4 3 3 9 - 9 7 1 3 - f 1 5 0 0 d 9 6 f 5 4 2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7.xml>��< ? x m l   v e r s i o n = " 1 . 0 "   e n c o d i n g = " U T F - 1 6 " ? > < G e m i n i   x m l n s = " h t t p : / / g e m i n i / p i v o t c u s t o m i z a t i o n / 1 7 0 5 1 e 4 2 - a 7 4 b - 4 2 0 8 - a 7 6 c - 2 d e 2 8 a 6 5 e c 2 9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2 b 8 3 f e 3 a - 4 2 8 f - 4 8 9 2 - 8 f 5 7 - 6 6 0 9 0 8 6 0 c 0 3 9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C l i e n t W i n d o w X M L " > < C u s t o m C o n t e n t > < ! [ C D A T A [ D a t o s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7 7 a 9 d e 4 3 - a 6 9 8 - 4 7 8 c - 8 9 c a - a 2 f 6 f 6 6 2 8 8 4 3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1.xml>��< ? x m l   v e r s i o n = " 1 . 0 "   e n c o d i n g = " U T F - 1 6 " ? > < G e m i n i   x m l n s = " h t t p : / / g e m i n i / p i v o t c u s t o m i z a t i o n / d 2 f e e b 2 a - 9 8 d 0 - 4 e c 3 - b f b e - 6 c c 7 a 0 1 0 c e 5 f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 D a t o s 1 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 T a b l a 2 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7 a 7 c 5 6 a 2 - d 6 1 2 - 4 3 8 2 - b d e 3 - e 4 c 8 8 2 1 f 7 9 b b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8 d 1 9 c a 6 2 - 5 9 5 e - 4 e a 1 - b 6 0 4 - 9 4 9 9 f 4 1 4 8 d 2 e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a d 1 e 6 c 4 9 - 7 8 2 5 - 4 c 2 0 - b 0 f 1 - c 9 f 4 d b 7 c 9 c 2 4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f 7 8 4 1 e 5 4 - b 3 4 7 - 4 4 f 3 - b a 5 5 - c 3 6 0 2 c 3 7 2 5 8 3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f 5 9 7 f e 0 d - b a 7 0 - 4 1 d a - 9 6 a 2 - b 4 a 0 5 9 9 0 5 e 3 f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7 f 5 2 2 2 5 5 - 0 e f d - 4 9 6 2 - b 8 d 8 - 1 7 2 1 0 5 3 c 5 0 c 6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f 6 1 b d 0 f a - c 6 5 a - 4 b 6 1 - 8 6 a b - 9 8 0 3 1 c 9 1 c d e a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d 4 3 a 6 3 f - d b f c - 4 b 7 0 - 8 e 7 f - 9 d 0 6 2 5 b 4 b a d 3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51.xml>��< ? x m l   v e r s i o n = " 1 . 0 "   e n c o d i n g = " U T F - 1 6 " ? > < G e m i n i   x m l n s = " h t t p : / / g e m i n i / p i v o t c u s t o m i z a t i o n / 6 a 4 6 1 f 6 e - a a 3 7 - 4 f c e - b 4 3 f - 5 6 2 6 3 1 a 9 5 6 f 0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 F a l s e 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a t o s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 O r d e n < / s t r i n g > < / k e y > < v a l u e > < i n t > 9 2 < / i n t > < / v a l u e > < / i t e m > < i t e m > < k e y > < s t r i n g > P e r i o d o < / s t r i n g > < / k e y > < v a l u e > < i n t > 1 0 3 < / i n t > < / v a l u e > < / i t e m > < i t e m > < k e y > < s t r i n g > M e s < / s t r i n g > < / k e y > < v a l u e > < i n t > 7 6 < / i n t > < / v a l u e > < / i t e m > < i t e m > < k e y > < s t r i n g > A � o < / s t r i n g > < / k e y > < v a l u e > < i n t > 7 4 < / i n t > < / v a l u e > < / i t e m > < i t e m > < k e y > < s t r i n g > P I B   n o m i n a l   ( m i l e s   d e   m i l l o n e s   d e   G . ) < / s t r i n g > < / k e y > < v a l u e > < i n t > 3 2 6 < / i n t > < / v a l u e > < / i t e m > < i t e m > < k e y > < s t r i n g > T i p o   d e   c a m b i o   G s . / U S $ < / s t r i n g > < / k e y > < v a l u e > < i n t > 2 2 6 < / i n t > < / v a l u e > < / i t e m > < i t e m > < k e y > < s t r i n g > I n g r e s o   T o t a l   ( R e c a u d a d o ) < / s t r i n g > < / k e y > < v a l u e > < i n t > 2 4 3 < / i n t > < / v a l u e > < / i t e m > < i t e m > < k e y > < s t r i n g > I n g r e s o   T o t a l   ( %   d e l   P I B ) < / s t r i n g > < / k e y > < v a l u e > < i n t > 2 2 9 < / i n t > < / v a l u e > < / i t e m > < i t e m > < k e y > < s t r i n g > I n g r e s o s   T r i b u t a r i o s < / s t r i n g > < / k e y > < v a l u e > < i n t > 1 9 7 < / i n t > < / v a l u e > < / i t e m > < i t e m > < k e y > < s t r i n g > P r e s i � n   T r i b u t a r i a < / s t r i n g > < / k e y > < v a l u e > < i n t > 1 7 9 < / i n t > < / v a l u e > < / i t e m > < i t e m > < k e y > < s t r i n g > S E T < / s t r i n g > < / k e y > < v a l u e > < i n t > 7 0 < / i n t > < / v a l u e > < / i t e m > < i t e m > < k e y > < s t r i n g > %   V a r .   A n u a l i z a d o   S E T < / s t r i n g > < / k e y > < v a l u e > < i n t > 2 1 0 < / i n t > < / v a l u e > < / i t e m > < i t e m > < k e y > < s t r i n g > D N A < / s t r i n g > < / k e y > < v a l u e > < i n t > 7 8 < / i n t > < / v a l u e > < / i t e m > < i t e m > < k e y > < s t r i n g > %   V a r .   A n u a l i z a d o   D N A < / s t r i n g > < / k e y > < v a l u e > < i n t > 2 1 8 < / i n t > < / v a l u e > < / i t e m > < i t e m > < k e y > < s t r i n g > C o n t r i b u c i o n e s   S o c i a l e s < / s t r i n g > < / k e y > < v a l u e > < i n t > 2 2 4 < / i n t > < / v a l u e > < / i t e m > < i t e m > < k e y > < s t r i n g > C o n t r i b u c i o n e s   S o c i a l e s   ( %   d e l   P I B ) < / s t r i n g > < / k e y > < v a l u e > < i n t > 3 1 1 < / i n t > < / v a l u e > < / i t e m > < i t e m > < k e y > < s t r i n g > D o n a c i o n e s < / s t r i n g > < / k e y > < v a l u e > < i n t > 1 3 3 < / i n t > < / v a l u e > < / i t e m > < i t e m > < k e y > < s t r i n g > D o n a c i o n e s   ( %   d e l   P I B ) < / s t r i n g > < / k e y > < v a l u e > < i n t > 2 2 0 < / i n t > < / v a l u e > < / i t e m > < i t e m > < k e y > < s t r i n g > O t r o s   I n g r e s o s < / s t r i n g > < / k e y > < v a l u e > < i n t > 1 5 8 < / i n t > < / v a l u e > < / i t e m > < i t e m > < k e y > < s t r i n g > O t r o s   i n g r e s o s   ( m i l l o n e s   d e   U S $ ) < / s t r i n g > < / k e y > < v a l u e > < i n t > 2 9 4 < / i n t > < / v a l u e > < / i t e m > < i t e m > < k e y > < s t r i n g > I t a i p � < / s t r i n g > < / k e y > < v a l u e > < i n t > 8 8 < / i n t > < / v a l u e > < / i t e m > < i t e m > < k e y > < s t r i n g > I t a i p �   ( m i l l o n e s   d e   U S $ ) < / s t r i n g > < / k e y > < v a l u e > < i n t > 2 2 6 < / i n t > < / v a l u e > < / i t e m > < i t e m > < k e y > < s t r i n g > Y a c y r e t � < / s t r i n g > < / k e y > < v a l u e > < i n t > 1 0 8 < / i n t > < / v a l u e > < / i t e m > < i t e m > < k e y > < s t r i n g > Y a c y r e t �   ( e n   m i l l o n e s   d e   U S $ ) < / s t r i n g > < / k e y > < v a l u e > < i n t > 2 6 9 < / i n t > < / v a l u e > < / i t e m > < i t e m > < k e y > < s t r i n g > O t r o s   I n g r . < / s t r i n g > < / k e y > < v a l u e > < i n t > 1 2 6 < / i n t > < / v a l u e > < / i t e m > < i t e m > < k e y > < s t r i n g > G a s t o   T o t a l   ( O b l i g a d o ) < / s t r i n g > < / k e y > < v a l u e > < i n t > 2 1 3 < / i n t > < / v a l u e > < / i t e m > < i t e m > < k e y > < s t r i n g > G a s t o   T o t a l   ( %   d e l   P I B ) < / s t r i n g > < / k e y > < v a l u e > < i n t > 2 1 5 < / i n t > < / v a l u e > < / i t e m > < i t e m > < k e y > < s t r i n g > G a s t o   T o t a l   s u m a   1 2   m e s e s < / s t r i n g > < / k e y > < v a l u e > < i n t > 2 5 1 < / i n t > < / v a l u e > < / i t e m > < i t e m > < k e y > < s t r i n g > %   V a r .   A n u a l i z a d o   G T < / s t r i n g > < / k e y > < v a l u e > < i n t > 2 0 4 < / i n t > < / v a l u e > < / i t e m > < i t e m > < k e y > < s t r i n g > R e m u n e r a c i � n   a   l o s   E m p l e a d o s < / s t r i n g > < / k e y > < v a l u e > < i n t > 2 8 1 < / i n t > < / v a l u e > < / i t e m > < i t e m > < k e y > < s t r i n g > S u e l d o s < / s t r i n g > < / k e y > < v a l u e > < i n t > 1 0 3 < / i n t > < / v a l u e > < / i t e m > < i t e m > < k e y > < s t r i n g > O t r a s   r e m u n e r a c i o n e s < / s t r i n g > < / k e y > < v a l u e > < i n t > 2 1 5 < / i n t > < / v a l u e > < / i t e m > < i t e m > < k e y > < s t r i n g > U s o   d e   B i e n e s   y   S e r v i c i o s < / s t r i n g > < / k e y > < v a l u e > < i n t > 2 3 5 < / i n t > < / v a l u e > < / i t e m > < i t e m > < k e y > < s t r i n g > I n t e r e s e s < / s t r i n g > < / k e y > < v a l u e > < i n t > 1 1 5 < / i n t > < / v a l u e > < / i t e m > < i t e m > < k e y > < s t r i n g > I n t e r e s e s   ( m i l l o n e s   d e   U S $ ) < / s t r i n g > < / k e y > < v a l u e > < i n t > 2 5 3 < / i n t > < / v a l u e > < / i t e m > < i t e m > < k e y > < s t r i n g > D o n a c i o n e s   ( G a s t o ) < / s t r i n g > < / k e y > < v a l u e > < i n t > 1 9 4 < / i n t > < / v a l u e > < / i t e m > < i t e m > < k e y > < s t r i n g > P r e s t a c i o n e s   S o c i a l e s < / s t r i n g > < / k e y > < v a l u e > < i n t > 2 0 6 < / i n t > < / v a l u e > < / i t e m > < i t e m > < k e y > < s t r i n g > O t r o s   G a s t o s < / s t r i n g > < / k e y > < v a l u e > < i n t > 1 4 4 < / i n t > < / v a l u e > < / i t e m > < i t e m > < k e y > < s t r i n g > R e s u l t a d o   O p e r a t i v o   N e t o < / s t r i n g > < / k e y > < v a l u e > < i n t > 2 4 2 < / i n t > < / v a l u e > < / i t e m > < i t e m > < k e y > < s t r i n g > R O N   ( %   d e l   P I B ) < / s t r i n g > < / k e y > < v a l u e > < i n t > 1 6 5 < / i n t > < / v a l u e > < / i t e m > < i t e m > < k e y > < s t r i n g > D N A   s u m a   1 2   m e s e s < / s t r i n g > < / k e y > < v a l u e > < i n t > 2 0 1 < / i n t > < / v a l u e > < / i t e m > < i t e m > < k e y > < s t r i n g > S E T   s u m a   1 2   m e s e s < / s t r i n g > < / k e y > < v a l u e > < i n t > 1 9 3 < / i n t > < / v a l u e > < / i t e m > < i t e m > < k e y > < s t r i n g > A d q u i s i c i � n   N e t a   d e   A c t i v o s   n o   F i n a n c i e r o s < / s t r i n g > < / k e y > < v a l u e > < i n t > 3 7 2 < / i n t > < / v a l u e > < / i t e m > < i t e m > < k e y > < s t r i n g > A N A N F   ( m m   U S $ ) < / s t r i n g > < / k e y > < v a l u e > < i n t > 1 7 9 < / i n t > < / v a l u e > < / i t e m > < i t e m > < k e y > < s t r i n g > M O P C < / s t r i n g > < / k e y > < v a l u e > < i n t > 9 2 < / i n t > < / v a l u e > < / i t e m > < i t e m > < k e y > < s t r i n g > M O P C   ( m m   U S $ ) < / s t r i n g > < / k e y > < v a l u e > < i n t > 1 7 3 < / i n t > < / v a l u e > < / i t e m > < i t e m > < k e y > < s t r i n g > O t r a s   e n t i d a d e s < / s t r i n g > < / k e y > < v a l u e > < i n t > 1 6 6 < / i n t > < / v a l u e > < / i t e m > < i t e m > < k e y > < s t r i n g > O t r a s   e n t i d a d e s   ( m m   U S $ ) < / s t r i n g > < / k e y > < v a l u e > < i n t > 2 4 7 < / i n t > < / v a l u e > < / i t e m > < i t e m > < k e y > < s t r i n g > R e s u l t a d o   F i s c a l   ( m i l e s   d e   m i l l o n e s   d e   G . ) < / s t r i n g > < / k e y > < v a l u e > < i n t > 3 5 6 < / i n t > < / v a l u e > < / i t e m > < i t e m > < k e y > < s t r i n g > T r i b u t a r i o s   s u m a   1 2   m e s e s < / s t r i n g > < / k e y > < v a l u e > < i n t > 2 4 9 < / i n t > < / v a l u e > < / i t e m > < i t e m > < k e y > < s t r i n g > R e s u l t a d o   F i s c a l   ( %   d e l   P I B ) < / s t r i n g > < / k e y > < v a l u e > < i n t > 2 5 2 < / i n t > < / v a l u e > < / i t e m > < i t e m > < k e y > < s t r i n g > R e s u l t a d o   f i s c a l   a n u a l i z a d o < / s t r i n g > < / k e y > < v a l u e > < i n t > 2 4 9 < / i n t > < / v a l u e > < / i t e m > < i t e m > < k e y > < s t r i n g > I T   S u m a   1 2   m e s e s < / s t r i n g > < / k e y > < v a l u e > < i n t > 1 8 2 < / i n t > < / v a l u e > < / i t e m > < i t e m > < k e y > < s t r i n g > R e s u l t a d o   f i s c a l   a n u a l i z a d o   ( %   d e l   P I B ) < / s t r i n g > < / k e y > < v a l u e > < i n t > 3 3 6 < / i n t > < / v a l u e > < / i t e m > < i t e m > < k e y > < s t r i n g > S S P P   f i n a n c i a d o s   c o n   I n g r e s o s   T r i b u t a r i o s < / s t r i n g > < / k e y > < v a l u e > < i n t > 3 6 3 < / i n t > < / v a l u e > < / i t e m > < i t e m > < k e y > < s t r i n g > B i n a c i o n a l e s < / s t r i n g > < / k e y > < v a l u e > < i n t > 2 0 0 < / i n t > < / v a l u e > < / i t e m > < i t e m > < k e y > < s t r i n g > R e s u l t a d o   f i s c a l   p r i m a r i o < / s t r i n g > < / k e y > < v a l u e > < i n t > 2 3 2 < / i n t > < / v a l u e > < / i t e m > < i t e m > < k e y > < s t r i n g > R e s u l t a d o   f i s c a l   p r i m a r i o   ( %   d e l   P I B ) < / s t r i n g > < / k e y > < v a l u e > < i n t > 3 1 9 < / i n t > < / v a l u e > < / i t e m > < i t e m > < k e y > < s t r i n g > R O N   a c u m u l a d o   1 2   m e s e s < / s t r i n g > < / k e y > < v a l u e > < i n t > 2 4 4 < / i n t > < / v a l u e > < / i t e m > < i t e m > < k e y > < s t r i n g > R O N   a n u a l i z a d o   ( %   d e l   P I B ) < / s t r i n g > < / k e y > < v a l u e > < i n t > 2 5 2 < / i n t > < / v a l u e > < / i t e m > < i t e m > < k e y > < s t r i n g > A N A N F   a c u m u l a d o   1 2   m e s e s < / s t r i n g > < / k e y > < v a l u e > < i n t > 2 6 4 < / i n t > < / v a l u e > < / i t e m > < i t e m > < k e y > < s t r i n g > A N A N F   a n u a l i z a d o   ( %   d e l   P I B ) < / s t r i n g > < / k e y > < v a l u e > < i n t > 2 7 2 < / i n t > < / v a l u e > < / i t e m > < i t e m > < k e y > < s t r i n g > I T   a c u m u l a d o   p o r   a � o < / s t r i n g > < / k e y > < v a l u e > < i n t > 2 1 1 < / i n t > < / v a l u e > < / i t e m > < i t e m > < k e y > < s t r i n g > %   V a r   a c u m   I n g r e s o   t o t a l < / s t r i n g > < / k e y > < v a l u e > < i n t > 2 3 5 < / i n t > < / v a l u e > < / i t e m > < i t e m > < k e y > < s t r i n g > %   V a r   i n t e r a n u a l < / s t r i n g > < / k e y > < v a l u e > < i n t > 1 6 9 < / i n t > < / v a l u e > < / i t e m > < i t e m > < k e y > < s t r i n g > %   V a r   s u m a   1 2   m e s e s < / s t r i n g > < / k e y > < v a l u e > < i n t > 2 1 0 < / i n t > < / v a l u e > < / i t e m > < i t e m > < k e y > < s t r i n g > I t a i p �   a c u m u l a d o   p o r   a � o   ( m i l l o n e s   d e   U S $ ) < / s t r i n g > < / k e y > < v a l u e > < i n t > 3 7 9 < / i n t > < / v a l u e > < / i t e m > < i t e m > < k e y > < s t r i n g > Y a c y r e t �   a c u m u l a d o   p o r   a � o   ( m i l l o n e s   d e   U S $ ) < / s t r i n g > < / k e y > < v a l u e > < i n t > 3 9 9 < / i n t > < / v a l u e > < / i t e m > < i t e m > < k e y > < s t r i n g > G a s t o   t o t a l   a c u m u l a d o   p o r   a � o < / s t r i n g > < / k e y > < v a l u e > < i n t > 2 8 0 < / i n t > < / v a l u e > < / i t e m > < i t e m > < k e y > < s t r i n g > %   V a r   i n t e r a n u a l   g a s t o   t o t a l < / s t r i n g > < / k e y > < v a l u e > < i n t > 2 5 4 < / i n t > < / v a l u e > < / i t e m > < i t e m > < k e y > < s t r i n g > %   V a r   a c u m u l a d o   g a s t o   t o t a l < / s t r i n g > < / k e y > < v a l u e > < i n t > 2 6 1 < / i n t > < / v a l u e > < / i t e m > < i t e m > < k e y > < s t r i n g > R O N   a c u m u l a d o   p o r   a � o < / s t r i n g > < / k e y > < v a l u e > < i n t > 2 3 1 < / i n t > < / v a l u e > < / i t e m > < i t e m > < k e y > < s t r i n g > %   V a r   i n t e r a n u a l   R O N < / s t r i n g > < / k e y > < v a l u e > < i n t > 2 0 8 < / i n t > < / v a l u e > < / i t e m > < i t e m > < k e y > < s t r i n g > %   V a r   a c u m u l a d o   R O N < / s t r i n g > < / k e y > < v a l u e > < i n t > 2 1 5 < / i n t > < / v a l u e > < / i t e m > < i t e m > < k e y > < s t r i n g > %   V a r   a n u a l i z a d o < / s t r i n g > < / k e y > < v a l u e > < i n t > 1 7 4 < / i n t > < / v a l u e > < / i t e m > < i t e m > < k e y > < s t r i n g > A N A N F   a c u m u l a d o   p o r   a � o < / s t r i n g > < / k e y > < v a l u e > < i n t > 2 5 1 < / i n t > < / v a l u e > < / i t e m > < i t e m > < k e y > < s t r i n g > %   V a r   i n t e r a n u a l   A N A N F < / s t r i n g > < / k e y > < v a l u e > < i n t > 2 2 8 < / i n t > < / v a l u e > < / i t e m > < i t e m > < k e y > < s t r i n g > %   V a r   a c u m u l a d o   p o r   a � o   A N A N F < / s t r i n g > < / k e y > < v a l u e > < i n t > 2 9 9 < / i n t > < / v a l u e > < / i t e m > < i t e m > < k e y > < s t r i n g > %   V a r   a n u a l i z a d o   A N A N F < / s t r i n g > < / k e y > < v a l u e > < i n t > 2 3 3 < / i n t > < / v a l u e > < / i t e m > < i t e m > < k e y > < s t r i n g > A N A N F   ( %   d e l   P I B ) < / s t r i n g > < / k e y > < v a l u e > < i n t > 1 8 5 < / i n t > < / v a l u e > < / i t e m > < i t e m > < k e y > < s t r i n g > A N A N F   a c u m .   P o r   a � o   ( %   d e l   P I B ) < / s t r i n g > < / k e y > < v a l u e > < i n t > 3 0 0 < / i n t > < / v a l u e > < / i t e m > < i t e m > < k e y > < s t r i n g > R e s u l t a d o   F i s c a l   a c u m u l a d o   p o r   a � o < / s t r i n g > < / k e y > < v a l u e > < i n t > 3 1 8 < / i n t > < / v a l u e > < / i t e m > < i t e m > < k e y > < s t r i n g > %   V a r   i n t e r a n u a l   R e s u l t a d o   F i s c a l < / s t r i n g > < / k e y > < v a l u e > < i n t > 2 9 5 < / i n t > < / v a l u e > < / i t e m > < i t e m > < k e y > < s t r i n g > %   V a r   a c u m u l a d o   R e s u l t a d o   F i s c a l < / s t r i n g > < / k e y > < v a l u e > < i n t > 3 0 2 < / i n t > < / v a l u e > < / i t e m > < i t e m > < k e y > < s t r i n g > %   V a r   a n u a l i z a d o   R e s u l t a d o   F i s c a l < / s t r i n g > < / k e y > < v a l u e > < i n t > 3 0 0 < / i n t > < / v a l u e > < / i t e m > < i t e m > < k e y > < s t r i n g > H o s p i t a l   d e   C l � n i c a s < / s t r i n g > < / k e y > < v a l u e > < i n t > 1 9 0 < / i n t > < / v a l u e > < / i t e m > < i t e m > < k e y > < s t r i n g > M S P B S < / s t r i n g > < / k e y > < v a l u e > < i n t > 9 7 < / i n t > < / v a l u e > < / i t e m > < i t e m > < k e y > < s t r i n g > M E C < / s t r i n g > < / k e y > < v a l u e > < i n t > 7 8 < / i n t > < / v a l u e > < / i t e m > < i t e m > < k e y > < s t r i n g > F F P P < / s t r i n g > < / k e y > < v a l u e > < i n t > 8 1 < / i n t > < / v a l u e > < / i t e m > < i t e m > < k e y > < s t r i n g > S a l a r i o s   L e y   d e   E m e r g e n c i a < / s t r i n g > < / k e y > < v a l u e > < i n t > 2 4 9 < / i n t > < / v a l u e > < / i t e m > < i t e m > < k e y > < s t r i n g > R e m u n .   A c u m .   P o r   a � o < / s t r i n g > < / k e y > < v a l u e > < i n t > 2 1 9 < / i n t > < / v a l u e > < / i t e m > < i t e m > < k e y > < s t r i n g > R e m u n .   S u m a   1 2   m e s e s < / s t r i n g > < / k e y > < v a l u e > < i n t > 2 2 6 < / i n t > < / v a l u e > < / i t e m > < i t e m > < k e y > < s t r i n g > %   V a r .   I n t e r a n u a l   R e m u n . < / s t r i n g > < / k e y > < v a l u e > < i n t > 2 3 7 < / i n t > < / v a l u e > < / i t e m > < i t e m > < k e y > < s t r i n g > %   V a r .   A c u m u l a d o   R e m u n . < / s t r i n g > < / k e y > < v a l u e > < i n t > 2 4 4 < / i n t > < / v a l u e > < / i t e m > < i t e m > < k e y > < s t r i n g > %   V a r .   A n u a l i z a d o   R e m u n . < / s t r i n g > < / k e y > < v a l u e > < i n t > 2 4 2 < / i n t > < / v a l u e > < / i t e m > < i t e m > < k e y > < s t r i n g > T r i b u t a r i o s   A c u m .   P o r   a � o < / s t r i n g > < / k e y > < v a l u e > < i n t > 2 4 3 < / i n t > < / v a l u e > < / i t e m > < i t e m > < k e y > < s t r i n g > %   V a r .   I n t e r a n u a l   T r i b u t a r i o s < / s t r i n g > < / k e y > < v a l u e > < i n t > 2 6 1 < / i n t > < / v a l u e > < / i t e m > < i t e m > < k e y > < s t r i n g > %   V a r .   A c u m .   T r i b u t a r i o s < / s t r i n g > < / k e y > < v a l u e > < i n t > 2 3 0 < / i n t > < / v a l u e > < / i t e m > < i t e m > < k e y > < s t r i n g > %   V a r .   S u m a   1 2 m   T r i b u t a r i o s < / s t r i n g > < / k e y > < v a l u e > < i n t > 2 6 3 < / i n t > < / v a l u e > < / i t e m > < i t e m > < k e y > < s t r i n g > R e s u l t a d o   O p e r a t i v o   P r i m a r i o < / s t r i n g > < / k e y > < v a l u e > < i n t > 1 9 9 < / i n t > < / v a l u e > < / i t e m > < i t e m > < k e y > < s t r i n g > R O N   P r i m a r i o   ( %   d e l   P I B ) < / s t r i n g > < / k e y > < v a l u e > < i n t > 1 9 9 < / i n t > < / v a l u e > < / i t e m > < i t e m > < k e y > < s t r i n g > I n t e r e s e s   ( %   d e l   P I B ) < / s t r i n g > < / k e y > < v a l u e > < i n t > 2 0 2 < / i n t > < / v a l u e > < / i t e m > < i t e m > < k e y > < s t r i n g > G a s t o + I n v e r s i � n < / s t r i n g > < / k e y > < v a l u e > < i n t > 1 9 9 < / i n t > < / v a l u e > < / i t e m > < i t e m > < k e y > < s t r i n g > G a s t o + I n v e r s i � n   ( %   P I B ) < / s t r i n g > < / k e y > < v a l u e > < i n t > 1 9 9 < / i n t > < / v a l u e > < / i t e m > < i t e m > < k e y > < s t r i n g > %   V a r .   I n t e r a n u a l   S E T < / s t r i n g > < / k e y > < v a l u e > < i n t > 2 0 5 < / i n t > < / v a l u e > < / i t e m > < i t e m > < k e y > < s t r i n g > %   V a r .   I n t e r a n u a l   D N A < / s t r i n g > < / k e y > < v a l u e > < i n t > 2 1 3 < / i n t > < / v a l u e > < / i t e m > < i t e m > < k e y > < s t r i n g > R e s u l t a d o   F i s c a l   ( m i l l o n e s   d e   U S $ ) < / s t r i n g > < / k e y > < v a l u e > < i n t > 3 0 3 < / i n t > < / v a l u e > < / i t e m > < i t e m > < k e y > < s t r i n g > R e s u l t a d o   F i s c a l   a n u a l i z a d o   ( m i l l o n e s   d e   U S $ ) < / s t r i n g > < / k e y > < v a l u e > < i n t > 3 9 0 < / i n t > < / v a l u e > < / i t e m > < i t e m > < k e y > < s t r i n g > M H < / s t r i n g > < / k e y > < v a l u e > < i n t > 7 1 < / i n t > < / v a l u e > < / i t e m > < i t e m > < k e y > < s t r i n g > M J < / s t r i n g > < / k e y > < v a l u e > < i n t > 6 5 < / i n t > < / v a l u e > < / i t e m > < i t e m > < k e y > < s t r i n g > M T E S S < / s t r i n g > < / k e y > < v a l u e > < i n t > 9 5 < / i n t > < / v a l u e > < / i t e m > < / C o l u m n W i d t h s > < C o l u m n D i s p l a y I n d e x > < i t e m > < k e y > < s t r i n g > O r d e n < / s t r i n g > < / k e y > < v a l u e > < i n t > 0 < / i n t > < / v a l u e > < / i t e m > < i t e m > < k e y > < s t r i n g > P e r i o d o < / s t r i n g > < / k e y > < v a l u e > < i n t > 1 < / i n t > < / v a l u e > < / i t e m > < i t e m > < k e y > < s t r i n g > M e s < / s t r i n g > < / k e y > < v a l u e > < i n t > 2 < / i n t > < / v a l u e > < / i t e m > < i t e m > < k e y > < s t r i n g > A � o < / s t r i n g > < / k e y > < v a l u e > < i n t > 3 < / i n t > < / v a l u e > < / i t e m > < i t e m > < k e y > < s t r i n g > P I B   n o m i n a l   ( m i l e s   d e   m i l l o n e s   d e   G . ) < / s t r i n g > < / k e y > < v a l u e > < i n t > 4 < / i n t > < / v a l u e > < / i t e m > < i t e m > < k e y > < s t r i n g > T i p o   d e   c a m b i o   G s . / U S $ < / s t r i n g > < / k e y > < v a l u e > < i n t > 5 < / i n t > < / v a l u e > < / i t e m > < i t e m > < k e y > < s t r i n g > I n g r e s o   T o t a l   ( R e c a u d a d o ) < / s t r i n g > < / k e y > < v a l u e > < i n t > 6 < / i n t > < / v a l u e > < / i t e m > < i t e m > < k e y > < s t r i n g > I n g r e s o   T o t a l   ( %   d e l   P I B ) < / s t r i n g > < / k e y > < v a l u e > < i n t > 7 < / i n t > < / v a l u e > < / i t e m > < i t e m > < k e y > < s t r i n g > I n g r e s o s   T r i b u t a r i o s < / s t r i n g > < / k e y > < v a l u e > < i n t > 8 < / i n t > < / v a l u e > < / i t e m > < i t e m > < k e y > < s t r i n g > P r e s i � n   T r i b u t a r i a < / s t r i n g > < / k e y > < v a l u e > < i n t > 9 < / i n t > < / v a l u e > < / i t e m > < i t e m > < k e y > < s t r i n g > S E T < / s t r i n g > < / k e y > < v a l u e > < i n t > 1 0 < / i n t > < / v a l u e > < / i t e m > < i t e m > < k e y > < s t r i n g > %   V a r .   A n u a l i z a d o   S E T < / s t r i n g > < / k e y > < v a l u e > < i n t > 1 1 < / i n t > < / v a l u e > < / i t e m > < i t e m > < k e y > < s t r i n g > D N A < / s t r i n g > < / k e y > < v a l u e > < i n t > 1 2 < / i n t > < / v a l u e > < / i t e m > < i t e m > < k e y > < s t r i n g > %   V a r .   A n u a l i z a d o   D N A < / s t r i n g > < / k e y > < v a l u e > < i n t > 1 3 < / i n t > < / v a l u e > < / i t e m > < i t e m > < k e y > < s t r i n g > C o n t r i b u c i o n e s   S o c i a l e s < / s t r i n g > < / k e y > < v a l u e > < i n t > 1 4 < / i n t > < / v a l u e > < / i t e m > < i t e m > < k e y > < s t r i n g > C o n t r i b u c i o n e s   S o c i a l e s   ( %   d e l   P I B ) < / s t r i n g > < / k e y > < v a l u e > < i n t > 1 5 < / i n t > < / v a l u e > < / i t e m > < i t e m > < k e y > < s t r i n g > D o n a c i o n e s < / s t r i n g > < / k e y > < v a l u e > < i n t > 1 6 < / i n t > < / v a l u e > < / i t e m > < i t e m > < k e y > < s t r i n g > D o n a c i o n e s   ( %   d e l   P I B ) < / s t r i n g > < / k e y > < v a l u e > < i n t > 1 7 < / i n t > < / v a l u e > < / i t e m > < i t e m > < k e y > < s t r i n g > O t r o s   I n g r e s o s < / s t r i n g > < / k e y > < v a l u e > < i n t > 1 8 < / i n t > < / v a l u e > < / i t e m > < i t e m > < k e y > < s t r i n g > O t r o s   i n g r e s o s   ( m i l l o n e s   d e   U S $ ) < / s t r i n g > < / k e y > < v a l u e > < i n t > 1 9 < / i n t > < / v a l u e > < / i t e m > < i t e m > < k e y > < s t r i n g > I t a i p � < / s t r i n g > < / k e y > < v a l u e > < i n t > 2 0 < / i n t > < / v a l u e > < / i t e m > < i t e m > < k e y > < s t r i n g > I t a i p �   ( m i l l o n e s   d e   U S $ ) < / s t r i n g > < / k e y > < v a l u e > < i n t > 2 1 < / i n t > < / v a l u e > < / i t e m > < i t e m > < k e y > < s t r i n g > Y a c y r e t � < / s t r i n g > < / k e y > < v a l u e > < i n t > 2 2 < / i n t > < / v a l u e > < / i t e m > < i t e m > < k e y > < s t r i n g > Y a c y r e t �   ( e n   m i l l o n e s   d e   U S $ ) < / s t r i n g > < / k e y > < v a l u e > < i n t > 2 3 < / i n t > < / v a l u e > < / i t e m > < i t e m > < k e y > < s t r i n g > O t r o s   I n g r . < / s t r i n g > < / k e y > < v a l u e > < i n t > 2 5 < / i n t > < / v a l u e > < / i t e m > < i t e m > < k e y > < s t r i n g > G a s t o   T o t a l   ( O b l i g a d o ) < / s t r i n g > < / k e y > < v a l u e > < i n t > 2 6 < / i n t > < / v a l u e > < / i t e m > < i t e m > < k e y > < s t r i n g > G a s t o   T o t a l   ( %   d e l   P I B ) < / s t r i n g > < / k e y > < v a l u e > < i n t > 2 7 < / i n t > < / v a l u e > < / i t e m > < i t e m > < k e y > < s t r i n g > G a s t o   T o t a l   s u m a   1 2   m e s e s < / s t r i n g > < / k e y > < v a l u e > < i n t > 6 1 < / i n t > < / v a l u e > < / i t e m > < i t e m > < k e y > < s t r i n g > %   V a r .   A n u a l i z a d o   G T < / s t r i n g > < / k e y > < v a l u e > < i n t > 2 8 < / i n t > < / v a l u e > < / i t e m > < i t e m > < k e y > < s t r i n g > R e m u n e r a c i � n   a   l o s   E m p l e a d o s < / s t r i n g > < / k e y > < v a l u e > < i n t > 2 9 < / i n t > < / v a l u e > < / i t e m > < i t e m > < k e y > < s t r i n g > S u e l d o s < / s t r i n g > < / k e y > < v a l u e > < i n t > 3 0 < / i n t > < / v a l u e > < / i t e m > < i t e m > < k e y > < s t r i n g > O t r a s   r e m u n e r a c i o n e s < / s t r i n g > < / k e y > < v a l u e > < i n t > 3 1 < / i n t > < / v a l u e > < / i t e m > < i t e m > < k e y > < s t r i n g > U s o   d e   B i e n e s   y   S e r v i c i o s < / s t r i n g > < / k e y > < v a l u e > < i n t > 3 2 < / i n t > < / v a l u e > < / i t e m > < i t e m > < k e y > < s t r i n g > I n t e r e s e s < / s t r i n g > < / k e y > < v a l u e > < i n t > 3 3 < / i n t > < / v a l u e > < / i t e m > < i t e m > < k e y > < s t r i n g > I n t e r e s e s   ( m i l l o n e s   d e   U S $ ) < / s t r i n g > < / k e y > < v a l u e > < i n t > 3 4 < / i n t > < / v a l u e > < / i t e m > < i t e m > < k e y > < s t r i n g > D o n a c i o n e s   ( G a s t o ) < / s t r i n g > < / k e y > < v a l u e > < i n t > 3 5 < / i n t > < / v a l u e > < / i t e m > < i t e m > < k e y > < s t r i n g > P r e s t a c i o n e s   S o c i a l e s < / s t r i n g > < / k e y > < v a l u e > < i n t > 3 6 < / i n t > < / v a l u e > < / i t e m > < i t e m > < k e y > < s t r i n g > O t r o s   G a s t o s < / s t r i n g > < / k e y > < v a l u e > < i n t > 3 7 < / i n t > < / v a l u e > < / i t e m > < i t e m > < k e y > < s t r i n g > R e s u l t a d o   O p e r a t i v o   N e t o < / s t r i n g > < / k e y > < v a l u e > < i n t > 3 8 < / i n t > < / v a l u e > < / i t e m > < i t e m > < k e y > < s t r i n g > R O N   ( %   d e l   P I B ) < / s t r i n g > < / k e y > < v a l u e > < i n t > 3 9 < / i n t > < / v a l u e > < / i t e m > < i t e m > < k e y > < s t r i n g > D N A   s u m a   1 2   m e s e s < / s t r i n g > < / k e y > < v a l u e > < i n t > 6 0 < / i n t > < / v a l u e > < / i t e m > < i t e m > < k e y > < s t r i n g > S E T   s u m a   1 2   m e s e s < / s t r i n g > < / k e y > < v a l u e > < i n t > 5 9 < / i n t > < / v a l u e > < / i t e m > < i t e m > < k e y > < s t r i n g > A d q u i s i c i � n   N e t a   d e   A c t i v o s   n o   F i n a n c i e r o s < / s t r i n g > < / k e y > < v a l u e > < i n t > 4 2 < / i n t > < / v a l u e > < / i t e m > < i t e m > < k e y > < s t r i n g > A N A N F   ( m m   U S $ ) < / s t r i n g > < / k e y > < v a l u e > < i n t > 4 3 < / i n t > < / v a l u e > < / i t e m > < i t e m > < k e y > < s t r i n g > M O P C < / s t r i n g > < / k e y > < v a l u e > < i n t > 4 4 < / i n t > < / v a l u e > < / i t e m > < i t e m > < k e y > < s t r i n g > M O P C   ( m m   U S $ ) < / s t r i n g > < / k e y > < v a l u e > < i n t > 4 5 < / i n t > < / v a l u e > < / i t e m > < i t e m > < k e y > < s t r i n g > O t r a s   e n t i d a d e s < / s t r i n g > < / k e y > < v a l u e > < i n t > 4 6 < / i n t > < / v a l u e > < / i t e m > < i t e m > < k e y > < s t r i n g > O t r a s   e n t i d a d e s   ( m m   U S $ ) < / s t r i n g > < / k e y > < v a l u e > < i n t > 4 7 < / i n t > < / v a l u e > < / i t e m > < i t e m > < k e y > < s t r i n g > R e s u l t a d o   F i s c a l   ( m i l e s   d e   m i l l o n e s   d e   G . ) < / s t r i n g > < / k e y > < v a l u e > < i n t > 5 0 < / i n t > < / v a l u e > < / i t e m > < i t e m > < k e y > < s t r i n g > T r i b u t a r i o s   s u m a   1 2   m e s e s < / s t r i n g > < / k e y > < v a l u e > < i n t > 5 8 < / i n t > < / v a l u e > < / i t e m > < i t e m > < k e y > < s t r i n g > R e s u l t a d o   F i s c a l   ( %   d e l   P I B ) < / s t r i n g > < / k e y > < v a l u e > < i n t > 5 1 < / i n t > < / v a l u e > < / i t e m > < i t e m > < k e y > < s t r i n g > R e s u l t a d o   f i s c a l   a n u a l i z a d o < / s t r i n g > < / k e y > < v a l u e > < i n t > 5 2 < / i n t > < / v a l u e > < / i t e m > < i t e m > < k e y > < s t r i n g > I T   S u m a   1 2   m e s e s < / s t r i n g > < / k e y > < v a l u e > < i n t > 5 7 < / i n t > < / v a l u e > < / i t e m > < i t e m > < k e y > < s t r i n g > R e s u l t a d o   f i s c a l   a n u a l i z a d o   ( %   d e l   P I B ) < / s t r i n g > < / k e y > < v a l u e > < i n t > 5 3 < / i n t > < / v a l u e > < / i t e m > < i t e m > < k e y > < s t r i n g > S S P P   f i n a n c i a d o s   c o n   I n g r e s o s   T r i b u t a r i o s < / s t r i n g > < / k e y > < v a l u e > < i n t > 5 4 < / i n t > < / v a l u e > < / i t e m > < i t e m > < k e y > < s t r i n g > B i n a c i o n a l e s < / s t r i n g > < / k e y > < v a l u e > < i n t > 2 4 < / i n t > < / v a l u e > < / i t e m > < i t e m > < k e y > < s t r i n g > R e s u l t a d o   f i s c a l   p r i m a r i o < / s t r i n g > < / k e y > < v a l u e > < i n t > 5 5 < / i n t > < / v a l u e > < / i t e m > < i t e m > < k e y > < s t r i n g > R e s u l t a d o   f i s c a l   p r i m a r i o   ( %   d e l   P I B ) < / s t r i n g > < / k e y > < v a l u e > < i n t > 5 6 < / i n t > < / v a l u e > < / i t e m > < i t e m > < k e y > < s t r i n g > R O N   a c u m u l a d o   1 2   m e s e s < / s t r i n g > < / k e y > < v a l u e > < i n t > 6 2 < / i n t > < / v a l u e > < / i t e m > < i t e m > < k e y > < s t r i n g > R O N   a n u a l i z a d o   ( %   d e l   P I B ) < / s t r i n g > < / k e y > < v a l u e > < i n t > 6 3 < / i n t > < / v a l u e > < / i t e m > < i t e m > < k e y > < s t r i n g > A N A N F   a c u m u l a d o   1 2   m e s e s < / s t r i n g > < / k e y > < v a l u e > < i n t > 6 4 < / i n t > < / v a l u e > < / i t e m > < i t e m > < k e y > < s t r i n g > A N A N F   a n u a l i z a d o   ( %   d e l   P I B ) < / s t r i n g > < / k e y > < v a l u e > < i n t > 6 5 < / i n t > < / v a l u e > < / i t e m > < i t e m > < k e y > < s t r i n g > I T   a c u m u l a d o   p o r   a � o < / s t r i n g > < / k e y > < v a l u e > < i n t > 6 6 < / i n t > < / v a l u e > < / i t e m > < i t e m > < k e y > < s t r i n g > %   V a r   a c u m   I n g r e s o   t o t a l < / s t r i n g > < / k e y > < v a l u e > < i n t > 6 7 < / i n t > < / v a l u e > < / i t e m > < i t e m > < k e y > < s t r i n g > %   V a r   i n t e r a n u a l < / s t r i n g > < / k e y > < v a l u e > < i n t > 6 8 < / i n t > < / v a l u e > < / i t e m > < i t e m > < k e y > < s t r i n g > %   V a r   s u m a   1 2   m e s e s < / s t r i n g > < / k e y > < v a l u e > < i n t > 6 9 < / i n t > < / v a l u e > < / i t e m > < i t e m > < k e y > < s t r i n g > I t a i p �   a c u m u l a d o   p o r   a � o   ( m i l l o n e s   d e   U S $ ) < / s t r i n g > < / k e y > < v a l u e > < i n t > 7 0 < / i n t > < / v a l u e > < / i t e m > < i t e m > < k e y > < s t r i n g > Y a c y r e t �   a c u m u l a d o   p o r   a � o   ( m i l l o n e s   d e   U S $ ) < / s t r i n g > < / k e y > < v a l u e > < i n t > 7 1 < / i n t > < / v a l u e > < / i t e m > < i t e m > < k e y > < s t r i n g > G a s t o   t o t a l   a c u m u l a d o   p o r   a � o < / s t r i n g > < / k e y > < v a l u e > < i n t > 7 2 < / i n t > < / v a l u e > < / i t e m > < i t e m > < k e y > < s t r i n g > %   V a r   i n t e r a n u a l   g a s t o   t o t a l < / s t r i n g > < / k e y > < v a l u e > < i n t > 7 3 < / i n t > < / v a l u e > < / i t e m > < i t e m > < k e y > < s t r i n g > %   V a r   a c u m u l a d o   g a s t o   t o t a l < / s t r i n g > < / k e y > < v a l u e > < i n t > 7 4 < / i n t > < / v a l u e > < / i t e m > < i t e m > < k e y > < s t r i n g > R O N   a c u m u l a d o   p o r   a � o < / s t r i n g > < / k e y > < v a l u e > < i n t > 7 5 < / i n t > < / v a l u e > < / i t e m > < i t e m > < k e y > < s t r i n g > %   V a r   i n t e r a n u a l   R O N < / s t r i n g > < / k e y > < v a l u e > < i n t > 7 6 < / i n t > < / v a l u e > < / i t e m > < i t e m > < k e y > < s t r i n g > %   V a r   a c u m u l a d o   R O N < / s t r i n g > < / k e y > < v a l u e > < i n t > 7 7 < / i n t > < / v a l u e > < / i t e m > < i t e m > < k e y > < s t r i n g > %   V a r   a n u a l i z a d o < / s t r i n g > < / k e y > < v a l u e > < i n t > 7 8 < / i n t > < / v a l u e > < / i t e m > < i t e m > < k e y > < s t r i n g > A N A N F   a c u m u l a d o   p o r   a � o < / s t r i n g > < / k e y > < v a l u e > < i n t > 7 9 < / i n t > < / v a l u e > < / i t e m > < i t e m > < k e y > < s t r i n g > %   V a r   i n t e r a n u a l   A N A N F < / s t r i n g > < / k e y > < v a l u e > < i n t > 8 0 < / i n t > < / v a l u e > < / i t e m > < i t e m > < k e y > < s t r i n g > %   V a r   a c u m u l a d o   p o r   a � o   A N A N F < / s t r i n g > < / k e y > < v a l u e > < i n t > 8 1 < / i n t > < / v a l u e > < / i t e m > < i t e m > < k e y > < s t r i n g > %   V a r   a n u a l i z a d o   A N A N F < / s t r i n g > < / k e y > < v a l u e > < i n t > 8 2 < / i n t > < / v a l u e > < / i t e m > < i t e m > < k e y > < s t r i n g > A N A N F   ( %   d e l   P I B ) < / s t r i n g > < / k e y > < v a l u e > < i n t > 8 3 < / i n t > < / v a l u e > < / i t e m > < i t e m > < k e y > < s t r i n g > A N A N F   a c u m .   P o r   a � o   ( %   d e l   P I B ) < / s t r i n g > < / k e y > < v a l u e > < i n t > 8 4 < / i n t > < / v a l u e > < / i t e m > < i t e m > < k e y > < s t r i n g > R e s u l t a d o   F i s c a l   a c u m u l a d o   p o r   a � o < / s t r i n g > < / k e y > < v a l u e > < i n t > 8 5 < / i n t > < / v a l u e > < / i t e m > < i t e m > < k e y > < s t r i n g > %   V a r   i n t e r a n u a l   R e s u l t a d o   F i s c a l < / s t r i n g > < / k e y > < v a l u e > < i n t > 8 6 < / i n t > < / v a l u e > < / i t e m > < i t e m > < k e y > < s t r i n g > %   V a r   a c u m u l a d o   R e s u l t a d o   F i s c a l < / s t r i n g > < / k e y > < v a l u e > < i n t > 8 7 < / i n t > < / v a l u e > < / i t e m > < i t e m > < k e y > < s t r i n g > %   V a r   a n u a l i z a d o   R e s u l t a d o   F i s c a l < / s t r i n g > < / k e y > < v a l u e > < i n t > 8 8 < / i n t > < / v a l u e > < / i t e m > < i t e m > < k e y > < s t r i n g > H o s p i t a l   d e   C l � n i c a s < / s t r i n g > < / k e y > < v a l u e > < i n t > 1 0 2 < / i n t > < / v a l u e > < / i t e m > < i t e m > < k e y > < s t r i n g > M S P B S < / s t r i n g > < / k e y > < v a l u e > < i n t > 1 0 1 < / i n t > < / v a l u e > < / i t e m > < i t e m > < k e y > < s t r i n g > M E C < / s t r i n g > < / k e y > < v a l u e > < i n t > 1 0 0 < / i n t > < / v a l u e > < / i t e m > < i t e m > < k e y > < s t r i n g > F F P P < / s t r i n g > < / k e y > < v a l u e > < i n t > 9 9 < / i n t > < / v a l u e > < / i t e m > < i t e m > < k e y > < s t r i n g > S a l a r i o s   L e y   d e   E m e r g e n c i a < / s t r i n g > < / k e y > < v a l u e > < i n t > 9 8 < / i n t > < / v a l u e > < / i t e m > < i t e m > < k e y > < s t r i n g > R e m u n .   A c u m .   P o r   a � o < / s t r i n g > < / k e y > < v a l u e > < i n t > 8 9 < / i n t > < / v a l u e > < / i t e m > < i t e m > < k e y > < s t r i n g > R e m u n .   S u m a   1 2   m e s e s < / s t r i n g > < / k e y > < v a l u e > < i n t > 9 0 < / i n t > < / v a l u e > < / i t e m > < i t e m > < k e y > < s t r i n g > %   V a r .   I n t e r a n u a l   R e m u n . < / s t r i n g > < / k e y > < v a l u e > < i n t > 9 1 < / i n t > < / v a l u e > < / i t e m > < i t e m > < k e y > < s t r i n g > %   V a r .   A c u m u l a d o   R e m u n . < / s t r i n g > < / k e y > < v a l u e > < i n t > 9 2 < / i n t > < / v a l u e > < / i t e m > < i t e m > < k e y > < s t r i n g > %   V a r .   A n u a l i z a d o   R e m u n . < / s t r i n g > < / k e y > < v a l u e > < i n t > 9 3 < / i n t > < / v a l u e > < / i t e m > < i t e m > < k e y > < s t r i n g > T r i b u t a r i o s   A c u m .   P o r   a � o < / s t r i n g > < / k e y > < v a l u e > < i n t > 9 4 < / i n t > < / v a l u e > < / i t e m > < i t e m > < k e y > < s t r i n g > %   V a r .   I n t e r a n u a l   T r i b u t a r i o s < / s t r i n g > < / k e y > < v a l u e > < i n t > 9 5 < / i n t > < / v a l u e > < / i t e m > < i t e m > < k e y > < s t r i n g > %   V a r .   A c u m .   T r i b u t a r i o s < / s t r i n g > < / k e y > < v a l u e > < i n t > 9 6 < / i n t > < / v a l u e > < / i t e m > < i t e m > < k e y > < s t r i n g > %   V a r .   S u m a   1 2 m   T r i b u t a r i o s < / s t r i n g > < / k e y > < v a l u e > < i n t > 9 7 < / i n t > < / v a l u e > < / i t e m > < i t e m > < k e y > < s t r i n g > R e s u l t a d o   O p e r a t i v o   P r i m a r i o < / s t r i n g > < / k e y > < v a l u e > < i n t > 4 0 < / i n t > < / v a l u e > < / i t e m > < i t e m > < k e y > < s t r i n g > R O N   P r i m a r i o   ( %   d e l   P I B ) < / s t r i n g > < / k e y > < v a l u e > < i n t > 4 1 < / i n t > < / v a l u e > < / i t e m > < i t e m > < k e y > < s t r i n g > I n t e r e s e s   ( %   d e l   P I B ) < / s t r i n g > < / k e y > < v a l u e > < i n t > 1 0 3 < / i n t > < / v a l u e > < / i t e m > < i t e m > < k e y > < s t r i n g > G a s t o + I n v e r s i � n < / s t r i n g > < / k e y > < v a l u e > < i n t > 4 8 < / i n t > < / v a l u e > < / i t e m > < i t e m > < k e y > < s t r i n g > G a s t o + I n v e r s i � n   ( %   P I B ) < / s t r i n g > < / k e y > < v a l u e > < i n t > 4 9 < / i n t > < / v a l u e > < / i t e m > < i t e m > < k e y > < s t r i n g > %   V a r .   I n t e r a n u a l   S E T < / s t r i n g > < / k e y > < v a l u e > < i n t > 1 0 4 < / i n t > < / v a l u e > < / i t e m > < i t e m > < k e y > < s t r i n g > %   V a r .   I n t e r a n u a l   D N A < / s t r i n g > < / k e y > < v a l u e > < i n t > 1 0 5 < / i n t > < / v a l u e > < / i t e m > < i t e m > < k e y > < s t r i n g > R e s u l t a d o   F i s c a l   ( m i l l o n e s   d e   U S $ ) < / s t r i n g > < / k e y > < v a l u e > < i n t > 1 0 6 < / i n t > < / v a l u e > < / i t e m > < i t e m > < k e y > < s t r i n g > R e s u l t a d o   F i s c a l   a n u a l i z a d o   ( m i l l o n e s   d e   U S $ ) < / s t r i n g > < / k e y > < v a l u e > < i n t > 1 0 7 < / i n t > < / v a l u e > < / i t e m > < i t e m > < k e y > < s t r i n g > M H < / s t r i n g > < / k e y > < v a l u e > < i n t > 1 0 8 < / i n t > < / v a l u e > < / i t e m > < i t e m > < k e y > < s t r i n g > M J < / s t r i n g > < / k e y > < v a l u e > < i n t > 1 0 9 < / i n t > < / v a l u e > < / i t e m > < i t e m > < k e y > < s t r i n g > M T E S S < / s t r i n g > < / k e y > < v a l u e > < i n t > 1 1 0 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9.xml>��< ? x m l   v e r s i o n = " 1 . 0 "   e n c o d i n g = " U T F - 1 6 " ? > < G e m i n i   x m l n s = " h t t p : / / g e m i n i / p i v o t c u s t o m i z a t i o n / 0 2 4 f 6 8 f d - f 9 d 5 - 4 5 3 0 - a 7 0 8 - 2 b d 5 3 5 f d 0 d 7 8 " > < C u s t o m C o n t e n t > < ! [ C D A T A [ < ? x m l   v e r s i o n = " 1 . 0 "   e n c o d i n g = " u t f - 1 6 " ? > < S e t t i n g s > < C a l c u l a t e d F i e l d s > < i t e m > < M e a s u r e N a m e > I n g r e s o   t o t a l < / M e a s u r e N a m e > < D i s p l a y N a m e > I n g r e s o   t o t a l < / D i s p l a y N a m e > < V i s i b l e > F a l s e < / V i s i b l e > < / i t e m > < i t e m > < M e a s u r e N a m e > I n g r e s o   p e r i o d o   a n t e r i o r < / M e a s u r e N a m e > < D i s p l a y N a m e > I n g r e s o   p e r i o d o   a n t e r i o r < / D i s p l a y N a m e > < V i s i b l e > F a l s e < / V i s i b l e > < / i t e m > < i t e m > < M e a s u r e N a m e > R e s t o < / M e a s u r e N a m e > < D i s p l a y N a m e > R e s t o < / D i s p l a y N a m e > < V i s i b l e > F a l s e < / V i s i b l e > < / i t e m > < i t e m > < M e a s u r e N a m e > S S P P / I n g r e s o s   T r i b u a r i o s < / M e a s u r e N a m e > < D i s p l a y N a m e > S S P P / I n g r e s o s   T r i b u a r i o s < / D i s p l a y N a m e > < V i s i b l e > T r u e < / V i s i b l e > < / i t e m > < i t e m > < M e a s u r e N a m e > %   V a r   i n g r e s o   t o t a l < / M e a s u r e N a m e > < D i s p l a y N a m e > %   V a r   i n g r e s o 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E5962101-312A-42FA-9B33-9DDC20635A1A}">
  <ds:schemaRefs/>
</ds:datastoreItem>
</file>

<file path=customXml/itemProps10.xml><?xml version="1.0" encoding="utf-8"?>
<ds:datastoreItem xmlns:ds="http://schemas.openxmlformats.org/officeDocument/2006/customXml" ds:itemID="{03DBE0A8-6982-4456-A56D-08E2B9BFEEA0}">
  <ds:schemaRefs/>
</ds:datastoreItem>
</file>

<file path=customXml/itemProps11.xml><?xml version="1.0" encoding="utf-8"?>
<ds:datastoreItem xmlns:ds="http://schemas.openxmlformats.org/officeDocument/2006/customXml" ds:itemID="{D2409EEE-7690-48F9-AD6A-428C6B638CDD}">
  <ds:schemaRefs/>
</ds:datastoreItem>
</file>

<file path=customXml/itemProps12.xml><?xml version="1.0" encoding="utf-8"?>
<ds:datastoreItem xmlns:ds="http://schemas.openxmlformats.org/officeDocument/2006/customXml" ds:itemID="{0D1637CD-AA60-417A-B21C-9E8865A0ECFC}">
  <ds:schemaRefs/>
</ds:datastoreItem>
</file>

<file path=customXml/itemProps13.xml><?xml version="1.0" encoding="utf-8"?>
<ds:datastoreItem xmlns:ds="http://schemas.openxmlformats.org/officeDocument/2006/customXml" ds:itemID="{B3F3604F-CF8D-42D6-ACC9-AE7D11C57409}">
  <ds:schemaRefs/>
</ds:datastoreItem>
</file>

<file path=customXml/itemProps14.xml><?xml version="1.0" encoding="utf-8"?>
<ds:datastoreItem xmlns:ds="http://schemas.openxmlformats.org/officeDocument/2006/customXml" ds:itemID="{01946DEB-78BE-43DE-AF3D-61A87658B449}">
  <ds:schemaRefs/>
</ds:datastoreItem>
</file>

<file path=customXml/itemProps15.xml><?xml version="1.0" encoding="utf-8"?>
<ds:datastoreItem xmlns:ds="http://schemas.openxmlformats.org/officeDocument/2006/customXml" ds:itemID="{9BBC6C85-22BF-4388-A448-8C3C671E7B5D}">
  <ds:schemaRefs/>
</ds:datastoreItem>
</file>

<file path=customXml/itemProps16.xml><?xml version="1.0" encoding="utf-8"?>
<ds:datastoreItem xmlns:ds="http://schemas.openxmlformats.org/officeDocument/2006/customXml" ds:itemID="{A0423151-39A3-49BC-A4E7-A7C28E48D5EA}">
  <ds:schemaRefs/>
</ds:datastoreItem>
</file>

<file path=customXml/itemProps17.xml><?xml version="1.0" encoding="utf-8"?>
<ds:datastoreItem xmlns:ds="http://schemas.openxmlformats.org/officeDocument/2006/customXml" ds:itemID="{7309C80A-9614-4A5D-AEE7-E6411EE8C212}">
  <ds:schemaRefs/>
</ds:datastoreItem>
</file>

<file path=customXml/itemProps18.xml><?xml version="1.0" encoding="utf-8"?>
<ds:datastoreItem xmlns:ds="http://schemas.openxmlformats.org/officeDocument/2006/customXml" ds:itemID="{870B8100-1825-4513-9AD4-12A1B5975297}">
  <ds:schemaRefs/>
</ds:datastoreItem>
</file>

<file path=customXml/itemProps19.xml><?xml version="1.0" encoding="utf-8"?>
<ds:datastoreItem xmlns:ds="http://schemas.openxmlformats.org/officeDocument/2006/customXml" ds:itemID="{89E8F851-77B8-4DF0-8B32-9805B464166D}">
  <ds:schemaRefs/>
</ds:datastoreItem>
</file>

<file path=customXml/itemProps2.xml><?xml version="1.0" encoding="utf-8"?>
<ds:datastoreItem xmlns:ds="http://schemas.openxmlformats.org/officeDocument/2006/customXml" ds:itemID="{3919903C-B034-40F9-A896-C7CB4ED9CA0B}">
  <ds:schemaRefs/>
</ds:datastoreItem>
</file>

<file path=customXml/itemProps20.xml><?xml version="1.0" encoding="utf-8"?>
<ds:datastoreItem xmlns:ds="http://schemas.openxmlformats.org/officeDocument/2006/customXml" ds:itemID="{AC1B2C27-1810-45C8-ACD2-E11BDC38CFD4}">
  <ds:schemaRefs/>
</ds:datastoreItem>
</file>

<file path=customXml/itemProps21.xml><?xml version="1.0" encoding="utf-8"?>
<ds:datastoreItem xmlns:ds="http://schemas.openxmlformats.org/officeDocument/2006/customXml" ds:itemID="{9FEF1A4F-3381-4702-8981-86F707C5AC19}">
  <ds:schemaRefs/>
</ds:datastoreItem>
</file>

<file path=customXml/itemProps22.xml><?xml version="1.0" encoding="utf-8"?>
<ds:datastoreItem xmlns:ds="http://schemas.openxmlformats.org/officeDocument/2006/customXml" ds:itemID="{118124CA-8E5B-42A6-9520-BAED0CE2FD42}">
  <ds:schemaRefs/>
</ds:datastoreItem>
</file>

<file path=customXml/itemProps23.xml><?xml version="1.0" encoding="utf-8"?>
<ds:datastoreItem xmlns:ds="http://schemas.openxmlformats.org/officeDocument/2006/customXml" ds:itemID="{F71213C4-9297-4B9D-9270-C855EF71948F}">
  <ds:schemaRefs/>
</ds:datastoreItem>
</file>

<file path=customXml/itemProps24.xml><?xml version="1.0" encoding="utf-8"?>
<ds:datastoreItem xmlns:ds="http://schemas.openxmlformats.org/officeDocument/2006/customXml" ds:itemID="{4B140024-2192-4972-A57B-316D69F0F68F}">
  <ds:schemaRefs/>
</ds:datastoreItem>
</file>

<file path=customXml/itemProps25.xml><?xml version="1.0" encoding="utf-8"?>
<ds:datastoreItem xmlns:ds="http://schemas.openxmlformats.org/officeDocument/2006/customXml" ds:itemID="{B2A41582-8964-4484-9727-B090B45C0D00}">
  <ds:schemaRefs/>
</ds:datastoreItem>
</file>

<file path=customXml/itemProps26.xml><?xml version="1.0" encoding="utf-8"?>
<ds:datastoreItem xmlns:ds="http://schemas.openxmlformats.org/officeDocument/2006/customXml" ds:itemID="{20499B9C-9BB6-44A9-9A75-20A80B86DA21}">
  <ds:schemaRefs/>
</ds:datastoreItem>
</file>

<file path=customXml/itemProps27.xml><?xml version="1.0" encoding="utf-8"?>
<ds:datastoreItem xmlns:ds="http://schemas.openxmlformats.org/officeDocument/2006/customXml" ds:itemID="{2D97A79C-099C-4AEB-A06F-61C13D8981A8}">
  <ds:schemaRefs/>
</ds:datastoreItem>
</file>

<file path=customXml/itemProps28.xml><?xml version="1.0" encoding="utf-8"?>
<ds:datastoreItem xmlns:ds="http://schemas.openxmlformats.org/officeDocument/2006/customXml" ds:itemID="{946A9405-B759-4345-9AD2-E5847A9B4894}">
  <ds:schemaRefs/>
</ds:datastoreItem>
</file>

<file path=customXml/itemProps29.xml><?xml version="1.0" encoding="utf-8"?>
<ds:datastoreItem xmlns:ds="http://schemas.openxmlformats.org/officeDocument/2006/customXml" ds:itemID="{16C6D0C5-5A3D-4B9E-AA0A-81EECC3CA853}">
  <ds:schemaRefs/>
</ds:datastoreItem>
</file>

<file path=customXml/itemProps3.xml><?xml version="1.0" encoding="utf-8"?>
<ds:datastoreItem xmlns:ds="http://schemas.openxmlformats.org/officeDocument/2006/customXml" ds:itemID="{36E1E39B-35A4-4223-B7FD-0C287FBE214E}">
  <ds:schemaRefs/>
</ds:datastoreItem>
</file>

<file path=customXml/itemProps30.xml><?xml version="1.0" encoding="utf-8"?>
<ds:datastoreItem xmlns:ds="http://schemas.openxmlformats.org/officeDocument/2006/customXml" ds:itemID="{339A5363-7AC8-4ADD-AD64-E657C1257819}">
  <ds:schemaRefs/>
</ds:datastoreItem>
</file>

<file path=customXml/itemProps31.xml><?xml version="1.0" encoding="utf-8"?>
<ds:datastoreItem xmlns:ds="http://schemas.openxmlformats.org/officeDocument/2006/customXml" ds:itemID="{FB79C794-D939-4DDA-A095-A617D2654269}">
  <ds:schemaRefs/>
</ds:datastoreItem>
</file>

<file path=customXml/itemProps32.xml><?xml version="1.0" encoding="utf-8"?>
<ds:datastoreItem xmlns:ds="http://schemas.openxmlformats.org/officeDocument/2006/customXml" ds:itemID="{4DE4D1B1-474A-4114-90B3-3DED4DEC07AC}">
  <ds:schemaRefs/>
</ds:datastoreItem>
</file>

<file path=customXml/itemProps33.xml><?xml version="1.0" encoding="utf-8"?>
<ds:datastoreItem xmlns:ds="http://schemas.openxmlformats.org/officeDocument/2006/customXml" ds:itemID="{A6D69602-556B-417E-AD8E-13A5F0E3DC21}">
  <ds:schemaRefs/>
</ds:datastoreItem>
</file>

<file path=customXml/itemProps34.xml><?xml version="1.0" encoding="utf-8"?>
<ds:datastoreItem xmlns:ds="http://schemas.openxmlformats.org/officeDocument/2006/customXml" ds:itemID="{12E8E9C8-93B0-40C0-9DE6-740956D44C70}">
  <ds:schemaRefs/>
</ds:datastoreItem>
</file>

<file path=customXml/itemProps35.xml><?xml version="1.0" encoding="utf-8"?>
<ds:datastoreItem xmlns:ds="http://schemas.openxmlformats.org/officeDocument/2006/customXml" ds:itemID="{21F428E1-B7C5-43D2-8F8D-53272B1DF96F}">
  <ds:schemaRefs/>
</ds:datastoreItem>
</file>

<file path=customXml/itemProps36.xml><?xml version="1.0" encoding="utf-8"?>
<ds:datastoreItem xmlns:ds="http://schemas.openxmlformats.org/officeDocument/2006/customXml" ds:itemID="{A760B1E9-DAD3-4861-8BEB-8E91F337DE5C}">
  <ds:schemaRefs/>
</ds:datastoreItem>
</file>

<file path=customXml/itemProps37.xml><?xml version="1.0" encoding="utf-8"?>
<ds:datastoreItem xmlns:ds="http://schemas.openxmlformats.org/officeDocument/2006/customXml" ds:itemID="{A91038EE-837D-4161-BB25-80C2C8227BB1}">
  <ds:schemaRefs/>
</ds:datastoreItem>
</file>

<file path=customXml/itemProps38.xml><?xml version="1.0" encoding="utf-8"?>
<ds:datastoreItem xmlns:ds="http://schemas.openxmlformats.org/officeDocument/2006/customXml" ds:itemID="{D0BFEA93-A455-4112-9888-58F5A4F6608D}">
  <ds:schemaRefs/>
</ds:datastoreItem>
</file>

<file path=customXml/itemProps39.xml><?xml version="1.0" encoding="utf-8"?>
<ds:datastoreItem xmlns:ds="http://schemas.openxmlformats.org/officeDocument/2006/customXml" ds:itemID="{97CCD345-496A-4C6D-B29F-C6FB85A3BEB7}">
  <ds:schemaRefs/>
</ds:datastoreItem>
</file>

<file path=customXml/itemProps4.xml><?xml version="1.0" encoding="utf-8"?>
<ds:datastoreItem xmlns:ds="http://schemas.openxmlformats.org/officeDocument/2006/customXml" ds:itemID="{53C46EF3-569F-4ED5-B867-CC700E729686}">
  <ds:schemaRefs/>
</ds:datastoreItem>
</file>

<file path=customXml/itemProps40.xml><?xml version="1.0" encoding="utf-8"?>
<ds:datastoreItem xmlns:ds="http://schemas.openxmlformats.org/officeDocument/2006/customXml" ds:itemID="{DADD4F14-9543-4DA0-96F8-FCE612785492}">
  <ds:schemaRefs/>
</ds:datastoreItem>
</file>

<file path=customXml/itemProps41.xml><?xml version="1.0" encoding="utf-8"?>
<ds:datastoreItem xmlns:ds="http://schemas.openxmlformats.org/officeDocument/2006/customXml" ds:itemID="{65B96DAE-B454-43A6-9C4B-F03DD86B15A1}">
  <ds:schemaRefs/>
</ds:datastoreItem>
</file>

<file path=customXml/itemProps42.xml><?xml version="1.0" encoding="utf-8"?>
<ds:datastoreItem xmlns:ds="http://schemas.openxmlformats.org/officeDocument/2006/customXml" ds:itemID="{CBCC4CD0-6B20-4E4D-9BB4-8E797C5BDF20}">
  <ds:schemaRefs/>
</ds:datastoreItem>
</file>

<file path=customXml/itemProps43.xml><?xml version="1.0" encoding="utf-8"?>
<ds:datastoreItem xmlns:ds="http://schemas.openxmlformats.org/officeDocument/2006/customXml" ds:itemID="{DC3ECB28-9FC7-4CD2-BA46-026681B80D37}">
  <ds:schemaRefs/>
</ds:datastoreItem>
</file>

<file path=customXml/itemProps44.xml><?xml version="1.0" encoding="utf-8"?>
<ds:datastoreItem xmlns:ds="http://schemas.openxmlformats.org/officeDocument/2006/customXml" ds:itemID="{655B1C94-5286-4A1D-B56E-4FA2B92D5F69}">
  <ds:schemaRefs/>
</ds:datastoreItem>
</file>

<file path=customXml/itemProps45.xml><?xml version="1.0" encoding="utf-8"?>
<ds:datastoreItem xmlns:ds="http://schemas.openxmlformats.org/officeDocument/2006/customXml" ds:itemID="{305A05AD-C1A8-4C93-81E3-4F5CF0F5048F}">
  <ds:schemaRefs/>
</ds:datastoreItem>
</file>

<file path=customXml/itemProps46.xml><?xml version="1.0" encoding="utf-8"?>
<ds:datastoreItem xmlns:ds="http://schemas.openxmlformats.org/officeDocument/2006/customXml" ds:itemID="{DBB33411-822D-4192-824E-B307D4765154}">
  <ds:schemaRefs/>
</ds:datastoreItem>
</file>

<file path=customXml/itemProps47.xml><?xml version="1.0" encoding="utf-8"?>
<ds:datastoreItem xmlns:ds="http://schemas.openxmlformats.org/officeDocument/2006/customXml" ds:itemID="{A6132D83-3EBF-4C38-8C05-6A38300B4FAF}">
  <ds:schemaRefs/>
</ds:datastoreItem>
</file>

<file path=customXml/itemProps48.xml><?xml version="1.0" encoding="utf-8"?>
<ds:datastoreItem xmlns:ds="http://schemas.openxmlformats.org/officeDocument/2006/customXml" ds:itemID="{A4EF7F55-1E5B-400C-9508-C9E324E45266}">
  <ds:schemaRefs/>
</ds:datastoreItem>
</file>

<file path=customXml/itemProps49.xml><?xml version="1.0" encoding="utf-8"?>
<ds:datastoreItem xmlns:ds="http://schemas.openxmlformats.org/officeDocument/2006/customXml" ds:itemID="{94896807-328F-45C8-8EEF-5E9FEBA6095D}">
  <ds:schemaRefs/>
</ds:datastoreItem>
</file>

<file path=customXml/itemProps5.xml><?xml version="1.0" encoding="utf-8"?>
<ds:datastoreItem xmlns:ds="http://schemas.openxmlformats.org/officeDocument/2006/customXml" ds:itemID="{5DABE368-646C-4497-9717-1BDAA098B3E3}">
  <ds:schemaRefs/>
</ds:datastoreItem>
</file>

<file path=customXml/itemProps50.xml><?xml version="1.0" encoding="utf-8"?>
<ds:datastoreItem xmlns:ds="http://schemas.openxmlformats.org/officeDocument/2006/customXml" ds:itemID="{81F08C46-7FEC-495C-B56E-6A951B0E9093}">
  <ds:schemaRefs/>
</ds:datastoreItem>
</file>

<file path=customXml/itemProps51.xml><?xml version="1.0" encoding="utf-8"?>
<ds:datastoreItem xmlns:ds="http://schemas.openxmlformats.org/officeDocument/2006/customXml" ds:itemID="{DBD0EBC3-B633-41DA-8E7F-6A0EA82DBA10}">
  <ds:schemaRefs/>
</ds:datastoreItem>
</file>

<file path=customXml/itemProps6.xml><?xml version="1.0" encoding="utf-8"?>
<ds:datastoreItem xmlns:ds="http://schemas.openxmlformats.org/officeDocument/2006/customXml" ds:itemID="{9A630F77-90BB-4AB0-B671-9FC8DC3463A4}">
  <ds:schemaRefs/>
</ds:datastoreItem>
</file>

<file path=customXml/itemProps7.xml><?xml version="1.0" encoding="utf-8"?>
<ds:datastoreItem xmlns:ds="http://schemas.openxmlformats.org/officeDocument/2006/customXml" ds:itemID="{34C1C4A9-EBE6-4E94-AC85-102175682DE4}">
  <ds:schemaRefs/>
</ds:datastoreItem>
</file>

<file path=customXml/itemProps8.xml><?xml version="1.0" encoding="utf-8"?>
<ds:datastoreItem xmlns:ds="http://schemas.openxmlformats.org/officeDocument/2006/customXml" ds:itemID="{FCDEDFF8-887C-4207-8D55-D11CB6401AE8}">
  <ds:schemaRefs>
    <ds:schemaRef ds:uri="http://schemas.microsoft.com/PowerBIAddIn"/>
  </ds:schemaRefs>
</ds:datastoreItem>
</file>

<file path=customXml/itemProps9.xml><?xml version="1.0" encoding="utf-8"?>
<ds:datastoreItem xmlns:ds="http://schemas.openxmlformats.org/officeDocument/2006/customXml" ds:itemID="{691CDD10-8DCF-40FF-8E19-9B4F85EBEED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Resumen</vt:lpstr>
      <vt:lpstr>1</vt:lpstr>
      <vt:lpstr>2</vt:lpstr>
      <vt:lpstr>TD inf</vt:lpstr>
      <vt:lpstr>Base1</vt:lpstr>
      <vt:lpstr>Situfin serie mensual</vt:lpstr>
      <vt:lpstr>Aux</vt:lpstr>
      <vt:lpstr>'1'!Área_de_impresión</vt:lpstr>
      <vt:lpstr>cambio</vt:lpstr>
      <vt:lpstr>Meses</vt:lpstr>
      <vt:lpstr>PIBNOMG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Benitez</dc:creator>
  <cp:lastModifiedBy>Maria Pintos</cp:lastModifiedBy>
  <dcterms:created xsi:type="dcterms:W3CDTF">2019-09-03T13:22:18Z</dcterms:created>
  <dcterms:modified xsi:type="dcterms:W3CDTF">2020-09-11T17:13:47Z</dcterms:modified>
</cp:coreProperties>
</file>